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K:\Trans\Grant Applications\2021 Grants\RAISE\14245_La Crosse French Island\BCA\"/>
    </mc:Choice>
  </mc:AlternateContent>
  <xr:revisionPtr revIDLastSave="0" documentId="13_ncr:1_{08071C8A-DDB1-4DB1-8303-35B65050B867}" xr6:coauthVersionLast="47" xr6:coauthVersionMax="47" xr10:uidLastSave="{00000000-0000-0000-0000-000000000000}"/>
  <bookViews>
    <workbookView xWindow="-25320" yWindow="210" windowWidth="25440" windowHeight="15540" tabRatio="840" activeTab="1" xr2:uid="{00000000-000D-0000-FFFF-FFFF00000000}"/>
  </bookViews>
  <sheets>
    <sheet name="Global Assumptions" sheetId="51" r:id="rId1"/>
    <sheet name="BCA Summary" sheetId="12" r:id="rId2"/>
    <sheet name="A_Harbor_Improvements_Benefits" sheetId="57" r:id="rId3"/>
    <sheet name="A_Harbor Improvements_Costs" sheetId="58" r:id="rId4"/>
    <sheet name="B_Roadway Improvements_Benefits" sheetId="59" r:id="rId5"/>
    <sheet name="B_Roadway Improvements_Costs" sheetId="60" r:id="rId6"/>
    <sheet name="C_La Crosse Airport_Benefits" sheetId="66" r:id="rId7"/>
    <sheet name="C_La Crosse Airport_AQ Benefits" sheetId="70" r:id="rId8"/>
    <sheet name="C_La Crosse Airport_Costs" sheetId="75" r:id="rId9"/>
    <sheet name="D_EV Charging Station_Benefits" sheetId="67" r:id="rId10"/>
    <sheet name="D_EV Charging Station_ AQ Benef" sheetId="69" r:id="rId11"/>
    <sheet name="D_EV Charging Costs" sheetId="76" r:id="rId12"/>
    <sheet name="E_Fiber Optic_Benefits" sheetId="71" r:id="rId13"/>
    <sheet name="E_Fiber Optic Costs" sheetId="77" r:id="rId14"/>
    <sheet name="F_Copeland Sidewalk_Benefits" sheetId="72" r:id="rId15"/>
    <sheet name="F_Copeland Sidewalk_Costs" sheetId="74" r:id="rId16"/>
    <sheet name="G_Copeland Park Pier Benefits" sheetId="73" r:id="rId17"/>
    <sheet name="G_Copeland Park Pier_Costs" sheetId="78" r:id="rId18"/>
    <sheet name="H_Campbell Watermain_Benefits" sheetId="65" r:id="rId19"/>
    <sheet name="H_Campbell Watermain_AQ Benefit" sheetId="68" r:id="rId20"/>
    <sheet name="H_Campbell Watermain_Costs" sheetId="80" r:id="rId21"/>
    <sheet name="RCV Calculator" sheetId="10"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A">#REF!</definedName>
    <definedName name="\B">#REF!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hidden="1">#REF!</definedName>
    <definedName name="_ftn2" localSheetId="18">'H_Campbell Watermain_Benefits'!$B$56</definedName>
    <definedName name="_ftnref1" localSheetId="9">'D_EV Charging Station_Benefits'!$B$40</definedName>
    <definedName name="_ftnref2" localSheetId="18">'H_Campbell Watermain_Benefits'!$B$52</definedName>
    <definedName name="_Key1" hidden="1">'[2]Journal Entry'!#REF!</definedName>
    <definedName name="_Key2" hidden="1">'[2]Journal Entry'!#REF!</definedName>
    <definedName name="_Order1" hidden="1">255</definedName>
    <definedName name="_Order2" hidden="1">255</definedName>
    <definedName name="_ppp1">#REF!</definedName>
    <definedName name="_ppp2">#REF!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#REF!</definedName>
    <definedName name="Adds">#REF!</definedName>
    <definedName name="ASSIGN">#REF!</definedName>
    <definedName name="B_4">#REF!</definedName>
    <definedName name="B_5">#REF!</definedName>
    <definedName name="BCAnalysisPeriod" localSheetId="7">[4]Assumptions!#REF!</definedName>
    <definedName name="BCAnalysisPeriod" localSheetId="10">[4]Assumptions!#REF!</definedName>
    <definedName name="BCAnalysisPeriod" localSheetId="12">[5]Assumptions!#REF!</definedName>
    <definedName name="BCAnalysisPeriod" localSheetId="19">[4]Assumptions!#REF!</definedName>
    <definedName name="BCAnalysisPeriod">[6]Assumptions!#REF!</definedName>
    <definedName name="BEGINNING">#REF!</definedName>
    <definedName name="BEx3O85IKWARA6NCJOLRBRJFMEWW" hidden="1">'[7]Q2 09 Rail BS Leads'!#REF!</definedName>
    <definedName name="BEx5MLQZM68YQSKARVWTTPINFQ2C" hidden="1">'[7]Q2 09 Rail BS Leads'!#REF!</definedName>
    <definedName name="BExERWCEBKQRYWRQLYJ4UCMMKTHG" hidden="1">'[7]Q2 09 Rail BS Leads'!#REF!</definedName>
    <definedName name="BExMBYPQDG9AYDQ5E8IECVFREPO6" hidden="1">'[7]Q2 09 Rail BS Leads'!#REF!</definedName>
    <definedName name="BExQ9ZLYHWABXAA9NJDW8ZS0UQ9P" hidden="1">'[7]Q2 09 Rail BS Leads'!#REF!</definedName>
    <definedName name="BExTUY9WNSJ91GV8CP0SKJTEIV82" hidden="1">'[7]Q2 09 Rail BS Leads'!#REF!</definedName>
    <definedName name="BS_98">#REF!</definedName>
    <definedName name="BS_99">#REF!</definedName>
    <definedName name="BS_SUM_25MO">#REF!</definedName>
    <definedName name="BS_SUM_98">#REF!</definedName>
    <definedName name="BS_SUM_99">#REF!</definedName>
    <definedName name="CBS">#REF!</definedName>
    <definedName name="COLE">#REF!</definedName>
    <definedName name="_xlnm.Criteria">#REF!</definedName>
    <definedName name="CURRENT_DATE">#REF!</definedName>
    <definedName name="DATA">#REF!</definedName>
    <definedName name="_xlnm.Database">#REF!</definedName>
    <definedName name="DecComICC">#REF!</definedName>
    <definedName name="DecComInstall">#REF!</definedName>
    <definedName name="Detail">#REF!</definedName>
    <definedName name="DISC_RATE">[3]Assumptions!$C$5</definedName>
    <definedName name="ENDING">#REF!</definedName>
    <definedName name="EPR">#REF!</definedName>
    <definedName name="_xlnm.Extract">#REF!</definedName>
    <definedName name="formula">#REF!</definedName>
    <definedName name="furbase">#REF!</definedName>
    <definedName name="FURN">#REF!</definedName>
    <definedName name="furnish">#REF!</definedName>
    <definedName name="furnmat">#REF!</definedName>
    <definedName name="GENERAL">#REF!</definedName>
    <definedName name="ICCConv">'[8]ICC Conversion'!$A$1:$B$191</definedName>
    <definedName name="IMPORT">#REF!</definedName>
    <definedName name="infor">#REF!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ike">#REF!</definedName>
    <definedName name="mobil1">#REF!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ISNU">#REF!</definedName>
    <definedName name="ppp">#REF!</definedName>
    <definedName name="price">#REF!</definedName>
    <definedName name="PRINT_ALL">#REF!</definedName>
    <definedName name="_xlnm.Print_Area" localSheetId="3">'A_Harbor Improvements_Costs'!$A$2:$K$63</definedName>
    <definedName name="_xlnm.Print_Area" localSheetId="2">A_Harbor_Improvements_Benefits!$A$2:$M$60</definedName>
    <definedName name="_xlnm.Print_Area" localSheetId="4">'B_Roadway Improvements_Benefits'!$A$2:$T$75</definedName>
    <definedName name="_xlnm.Print_Area" localSheetId="5">'B_Roadway Improvements_Costs'!$A$2:$K$61</definedName>
    <definedName name="_xlnm.Print_Area" localSheetId="1">'BCA Summary'!$A$1:$G$49</definedName>
    <definedName name="_xlnm.Print_Area" localSheetId="7">'C_La Crosse Airport_AQ Benefits'!$A$1:$M$48</definedName>
    <definedName name="_xlnm.Print_Area" localSheetId="6">'C_La Crosse Airport_Benefits'!$A$2:$O$48</definedName>
    <definedName name="_xlnm.Print_Area" localSheetId="8">'C_La Crosse Airport_Costs'!$A$2:$K$63</definedName>
    <definedName name="_xlnm.Print_Area" localSheetId="11">'D_EV Charging Costs'!$A$2:$K$63</definedName>
    <definedName name="_xlnm.Print_Area" localSheetId="10">'D_EV Charging Station_ AQ Benef'!$A$1:$X$48</definedName>
    <definedName name="_xlnm.Print_Area" localSheetId="9">'D_EV Charging Station_Benefits'!$A$2:$K$61</definedName>
    <definedName name="_xlnm.Print_Area" localSheetId="13">'E_Fiber Optic Costs'!$A$2:$K$63</definedName>
    <definedName name="_xlnm.Print_Area" localSheetId="12">'E_Fiber Optic_Benefits'!$A$1:$G$36</definedName>
    <definedName name="_xlnm.Print_Area" localSheetId="14">'F_Copeland Sidewalk_Benefits'!$A$2:$N$57</definedName>
    <definedName name="_xlnm.Print_Area" localSheetId="15">'F_Copeland Sidewalk_Costs'!$A$2:$K$63</definedName>
    <definedName name="_xlnm.Print_Area" localSheetId="16">'G_Copeland Park Pier Benefits'!$A$2:$J$61</definedName>
    <definedName name="_xlnm.Print_Area" localSheetId="17">'G_Copeland Park Pier_Costs'!$A$2:$K$63</definedName>
    <definedName name="_xlnm.Print_Area" localSheetId="0">'Global Assumptions'!$A$1:$D$9</definedName>
    <definedName name="_xlnm.Print_Area" localSheetId="19">'H_Campbell Watermain_AQ Benefit'!$A$1:$P$48</definedName>
    <definedName name="_xlnm.Print_Area" localSheetId="18">'H_Campbell Watermain_Benefits'!$A$2:$P$61</definedName>
    <definedName name="_xlnm.Print_Area" localSheetId="20">'H_Campbell Watermain_Costs'!$A$2:$K$63</definedName>
    <definedName name="_xlnm.Print_Area">#REF!</definedName>
    <definedName name="PRINT_AREA_MI">#REF!</definedName>
    <definedName name="PRINT_CF_9899">#REF!</definedName>
    <definedName name="PRINT_DIFF">#REF!</definedName>
    <definedName name="_xlnm.Print_Titles">#N/A</definedName>
    <definedName name="Print_Titles_MI">'[9]PA Run Off'!$A$1:$IV$10,'[9]PA Run Off'!$A$1:$A$16384</definedName>
    <definedName name="PRT_12_PAGE_25M">#REF!</definedName>
    <definedName name="PRT_98_WCRECON">#REF!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[10]LocoRate!$L$2:$P$4</definedName>
    <definedName name="Rates">'[11]Rate file'!$A$6:$F$1250</definedName>
    <definedName name="RETIREMENTS">#REF!</definedName>
    <definedName name="Retires">#REF!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panner_Auto_File">"T:\139407\NDM\ROR\DRAWING\des_road.x2a"</definedName>
    <definedName name="Spanner_Auto_Select">#REF!</definedName>
    <definedName name="SUB7L">#REF!</definedName>
    <definedName name="supp">#REF!</definedName>
    <definedName name="suppbase">#REF!</definedName>
    <definedName name="SUPPL">#REF!</definedName>
    <definedName name="supplem">#REF!</definedName>
    <definedName name="TITLE">#REF!</definedName>
    <definedName name="TOTAL">#REF!</definedName>
    <definedName name="TruckCost" localSheetId="7">[4]Assumptions!#REF!</definedName>
    <definedName name="TruckCost" localSheetId="10">[4]Assumptions!#REF!</definedName>
    <definedName name="TruckCost" localSheetId="12">[5]Assumptions!#REF!</definedName>
    <definedName name="TruckCost" localSheetId="19">[4]Assumptions!#REF!</definedName>
    <definedName name="TruckCost">[6]Assumptions!#REF!</definedName>
    <definedName name="UPDATE">#REF!</definedName>
    <definedName name="VEH_OCC">[3]Assumptions!$C$6</definedName>
    <definedName name="Version">#REF!</definedName>
    <definedName name="x">[12]Assumptions!#REF!</definedName>
    <definedName name="yrofanalysis">[13]Assumptions!#REF!</definedName>
    <definedName name="yrofcurrentdollars">[13]Assumptions!#REF!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7" i="12" l="1"/>
  <c r="L12" i="12"/>
  <c r="J47" i="12"/>
  <c r="J42" i="12"/>
  <c r="J37" i="12"/>
  <c r="J32" i="12"/>
  <c r="J27" i="12"/>
  <c r="J7" i="12"/>
  <c r="J12" i="12"/>
  <c r="I12" i="12"/>
  <c r="J17" i="12"/>
  <c r="I17" i="12"/>
  <c r="J22" i="12"/>
  <c r="H45" i="12"/>
  <c r="H40" i="12"/>
  <c r="H35" i="12"/>
  <c r="H30" i="12"/>
  <c r="H25" i="12"/>
  <c r="H20" i="12"/>
  <c r="H15" i="12"/>
  <c r="H10" i="12"/>
  <c r="H5" i="12"/>
  <c r="J29" i="65" l="1"/>
  <c r="J28" i="65"/>
  <c r="B7" i="70"/>
  <c r="B8" i="70" s="1"/>
  <c r="B9" i="70" s="1"/>
  <c r="B10" i="70" s="1"/>
  <c r="B11" i="70" s="1"/>
  <c r="B12" i="70" s="1"/>
  <c r="B13" i="70" s="1"/>
  <c r="B14" i="70" s="1"/>
  <c r="B15" i="70" s="1"/>
  <c r="B16" i="70" s="1"/>
  <c r="B17" i="70" s="1"/>
  <c r="B18" i="70" s="1"/>
  <c r="B19" i="70" s="1"/>
  <c r="B20" i="70" s="1"/>
  <c r="B21" i="70" s="1"/>
  <c r="B22" i="70" s="1"/>
  <c r="B23" i="70" s="1"/>
  <c r="B24" i="70" s="1"/>
  <c r="B6" i="70"/>
  <c r="B5" i="70"/>
  <c r="B7" i="67"/>
  <c r="B7" i="69"/>
  <c r="B8" i="69"/>
  <c r="B9" i="69" s="1"/>
  <c r="B10" i="69" s="1"/>
  <c r="B11" i="69" s="1"/>
  <c r="B12" i="69" s="1"/>
  <c r="B13" i="69" s="1"/>
  <c r="B14" i="69" s="1"/>
  <c r="B15" i="69" s="1"/>
  <c r="B16" i="69" s="1"/>
  <c r="B17" i="69" s="1"/>
  <c r="B18" i="69" s="1"/>
  <c r="B19" i="69" s="1"/>
  <c r="B20" i="69" s="1"/>
  <c r="B21" i="69" s="1"/>
  <c r="B22" i="69" s="1"/>
  <c r="B23" i="69" s="1"/>
  <c r="B24" i="69" s="1"/>
  <c r="B6" i="69"/>
  <c r="B5" i="69"/>
  <c r="B7" i="72"/>
  <c r="B7" i="73"/>
  <c r="B5" i="68"/>
  <c r="B6" i="68" s="1"/>
  <c r="B7" i="68" s="1"/>
  <c r="B8" i="68" s="1"/>
  <c r="B9" i="68" s="1"/>
  <c r="B10" i="68" s="1"/>
  <c r="B11" i="68" s="1"/>
  <c r="B12" i="68" s="1"/>
  <c r="B13" i="68" s="1"/>
  <c r="B14" i="68" s="1"/>
  <c r="B15" i="68" s="1"/>
  <c r="B16" i="68" s="1"/>
  <c r="B17" i="68" s="1"/>
  <c r="B18" i="68" s="1"/>
  <c r="B19" i="68" s="1"/>
  <c r="B20" i="68" s="1"/>
  <c r="B21" i="68" s="1"/>
  <c r="B22" i="68" s="1"/>
  <c r="B23" i="68" s="1"/>
  <c r="B24" i="68" s="1"/>
  <c r="B7" i="65"/>
  <c r="I34" i="72"/>
  <c r="H34" i="72"/>
  <c r="C15" i="69"/>
  <c r="C16" i="69"/>
  <c r="C17" i="69"/>
  <c r="C18" i="69"/>
  <c r="C19" i="69"/>
  <c r="C20" i="69"/>
  <c r="C21" i="69"/>
  <c r="C22" i="69"/>
  <c r="C23" i="69"/>
  <c r="C24" i="69"/>
  <c r="C11" i="71"/>
  <c r="I10" i="78"/>
  <c r="I11" i="78" s="1"/>
  <c r="C24" i="70" l="1"/>
  <c r="C23" i="70"/>
  <c r="C22" i="70"/>
  <c r="C21" i="70"/>
  <c r="C20" i="70"/>
  <c r="C19" i="70"/>
  <c r="C18" i="70"/>
  <c r="C17" i="70"/>
  <c r="C16" i="70"/>
  <c r="C15" i="70"/>
  <c r="C14" i="70"/>
  <c r="C13" i="70"/>
  <c r="C12" i="70"/>
  <c r="C11" i="70"/>
  <c r="C10" i="70"/>
  <c r="C9" i="70"/>
  <c r="C8" i="70"/>
  <c r="C7" i="70"/>
  <c r="C6" i="70"/>
  <c r="C5" i="70"/>
  <c r="D5" i="70" s="1"/>
  <c r="L7" i="68" l="1"/>
  <c r="H28" i="72"/>
  <c r="I35" i="72" s="1"/>
  <c r="B7" i="66"/>
  <c r="I22" i="66"/>
  <c r="B39" i="78"/>
  <c r="B40" i="78" s="1"/>
  <c r="B41" i="78" s="1"/>
  <c r="B42" i="78" s="1"/>
  <c r="B43" i="78" s="1"/>
  <c r="B44" i="78" s="1"/>
  <c r="H17" i="73"/>
  <c r="H18" i="73"/>
  <c r="H35" i="72" l="1"/>
  <c r="C7" i="72"/>
  <c r="C7" i="66"/>
  <c r="J21" i="74" l="1"/>
  <c r="J28" i="80"/>
  <c r="J31" i="80" s="1"/>
  <c r="J21" i="80"/>
  <c r="I10" i="80"/>
  <c r="I11" i="80" s="1"/>
  <c r="E7" i="80" s="1"/>
  <c r="F7" i="80" s="1"/>
  <c r="B8" i="80"/>
  <c r="C7" i="80"/>
  <c r="D7" i="80" s="1"/>
  <c r="B7" i="80"/>
  <c r="J28" i="78"/>
  <c r="J31" i="78" s="1"/>
  <c r="J21" i="78"/>
  <c r="C7" i="78"/>
  <c r="D7" i="78" s="1"/>
  <c r="B7" i="78"/>
  <c r="E7" i="78" s="1"/>
  <c r="F7" i="78" s="1"/>
  <c r="J28" i="77"/>
  <c r="J31" i="77" s="1"/>
  <c r="J21" i="77"/>
  <c r="I10" i="77"/>
  <c r="B7" i="77"/>
  <c r="B8" i="77" s="1"/>
  <c r="J28" i="76"/>
  <c r="J31" i="76" s="1"/>
  <c r="J21" i="76"/>
  <c r="I11" i="76"/>
  <c r="I10" i="76"/>
  <c r="B7" i="76"/>
  <c r="C1" i="76"/>
  <c r="D1" i="76" s="1"/>
  <c r="E1" i="76" s="1"/>
  <c r="F1" i="76" s="1"/>
  <c r="J21" i="75"/>
  <c r="I10" i="75"/>
  <c r="I11" i="75" s="1"/>
  <c r="E7" i="75" s="1"/>
  <c r="F7" i="75" s="1"/>
  <c r="B7" i="75"/>
  <c r="B8" i="75" s="1"/>
  <c r="B9" i="75" s="1"/>
  <c r="E1" i="75"/>
  <c r="F1" i="75" s="1"/>
  <c r="C1" i="75"/>
  <c r="D1" i="75" s="1"/>
  <c r="I9" i="58"/>
  <c r="I10" i="74"/>
  <c r="I11" i="74" s="1"/>
  <c r="B7" i="74"/>
  <c r="F24" i="68"/>
  <c r="F23" i="68"/>
  <c r="F22" i="68"/>
  <c r="F21" i="68"/>
  <c r="F20" i="68"/>
  <c r="F19" i="68"/>
  <c r="F18" i="68"/>
  <c r="F17" i="68"/>
  <c r="F16" i="68"/>
  <c r="F15" i="68"/>
  <c r="F14" i="68"/>
  <c r="F13" i="68"/>
  <c r="F12" i="68"/>
  <c r="F11" i="68"/>
  <c r="F10" i="68"/>
  <c r="F9" i="68"/>
  <c r="F8" i="68"/>
  <c r="F7" i="68"/>
  <c r="F6" i="68"/>
  <c r="F5" i="68"/>
  <c r="I11" i="77" l="1"/>
  <c r="E7" i="77" s="1"/>
  <c r="F7" i="77" s="1"/>
  <c r="B11" i="71"/>
  <c r="E8" i="80"/>
  <c r="F8" i="80" s="1"/>
  <c r="B8" i="78"/>
  <c r="B9" i="80"/>
  <c r="C8" i="80"/>
  <c r="D8" i="80" s="1"/>
  <c r="E8" i="78"/>
  <c r="F8" i="78" s="1"/>
  <c r="B9" i="78"/>
  <c r="C8" i="78"/>
  <c r="D8" i="78" s="1"/>
  <c r="B9" i="77"/>
  <c r="E8" i="77"/>
  <c r="F8" i="77" s="1"/>
  <c r="C8" i="77"/>
  <c r="D8" i="77" s="1"/>
  <c r="C7" i="77"/>
  <c r="D7" i="77" s="1"/>
  <c r="B8" i="76"/>
  <c r="C7" i="76"/>
  <c r="D7" i="76" s="1"/>
  <c r="E7" i="76"/>
  <c r="F7" i="76" s="1"/>
  <c r="E8" i="75"/>
  <c r="F8" i="75" s="1"/>
  <c r="E9" i="75"/>
  <c r="F9" i="75" s="1"/>
  <c r="B10" i="75"/>
  <c r="C9" i="75"/>
  <c r="D9" i="75" s="1"/>
  <c r="C8" i="75"/>
  <c r="D8" i="75" s="1"/>
  <c r="C7" i="75"/>
  <c r="D7" i="75" s="1"/>
  <c r="E7" i="74"/>
  <c r="F7" i="74" s="1"/>
  <c r="B8" i="74"/>
  <c r="J28" i="74"/>
  <c r="J31" i="74" s="1"/>
  <c r="C7" i="74"/>
  <c r="D7" i="74" s="1"/>
  <c r="J23" i="65"/>
  <c r="J22" i="65"/>
  <c r="B12" i="71" l="1"/>
  <c r="B10" i="80"/>
  <c r="C9" i="80"/>
  <c r="D9" i="80" s="1"/>
  <c r="E9" i="80"/>
  <c r="F9" i="80" s="1"/>
  <c r="B10" i="78"/>
  <c r="C9" i="78"/>
  <c r="D9" i="78" s="1"/>
  <c r="E9" i="78"/>
  <c r="F9" i="78" s="1"/>
  <c r="E9" i="77"/>
  <c r="F9" i="77" s="1"/>
  <c r="B10" i="77"/>
  <c r="C9" i="77"/>
  <c r="D9" i="77" s="1"/>
  <c r="E8" i="76"/>
  <c r="F8" i="76" s="1"/>
  <c r="B9" i="76"/>
  <c r="C8" i="76"/>
  <c r="D8" i="76" s="1"/>
  <c r="B11" i="75"/>
  <c r="C10" i="75"/>
  <c r="D10" i="75" s="1"/>
  <c r="E10" i="75"/>
  <c r="F10" i="75" s="1"/>
  <c r="B9" i="74"/>
  <c r="C8" i="74"/>
  <c r="D8" i="74" s="1"/>
  <c r="E8" i="74"/>
  <c r="F8" i="74" s="1"/>
  <c r="B13" i="71" l="1"/>
  <c r="C10" i="80"/>
  <c r="D10" i="80" s="1"/>
  <c r="B11" i="80"/>
  <c r="E10" i="80"/>
  <c r="F10" i="80" s="1"/>
  <c r="C10" i="78"/>
  <c r="D10" i="78" s="1"/>
  <c r="E10" i="78"/>
  <c r="F10" i="78" s="1"/>
  <c r="B11" i="78"/>
  <c r="B11" i="77"/>
  <c r="C10" i="77"/>
  <c r="D10" i="77" s="1"/>
  <c r="E10" i="77"/>
  <c r="F10" i="77" s="1"/>
  <c r="E9" i="76"/>
  <c r="F9" i="76" s="1"/>
  <c r="B10" i="76"/>
  <c r="C9" i="76"/>
  <c r="D9" i="76" s="1"/>
  <c r="E11" i="75"/>
  <c r="F11" i="75" s="1"/>
  <c r="B12" i="75"/>
  <c r="C11" i="75"/>
  <c r="D11" i="75" s="1"/>
  <c r="E9" i="74"/>
  <c r="F9" i="74" s="1"/>
  <c r="C9" i="74"/>
  <c r="D9" i="74" s="1"/>
  <c r="B10" i="74"/>
  <c r="B14" i="71" l="1"/>
  <c r="D11" i="71"/>
  <c r="E11" i="71" s="1"/>
  <c r="E11" i="80"/>
  <c r="F11" i="80" s="1"/>
  <c r="C11" i="80"/>
  <c r="D11" i="80" s="1"/>
  <c r="B12" i="80"/>
  <c r="E11" i="78"/>
  <c r="F11" i="78" s="1"/>
  <c r="C11" i="78"/>
  <c r="D11" i="78" s="1"/>
  <c r="B12" i="78"/>
  <c r="B12" i="77"/>
  <c r="E11" i="77"/>
  <c r="F11" i="77" s="1"/>
  <c r="C11" i="77"/>
  <c r="D11" i="77" s="1"/>
  <c r="B11" i="76"/>
  <c r="C10" i="76"/>
  <c r="D10" i="76" s="1"/>
  <c r="E10" i="76"/>
  <c r="F10" i="76" s="1"/>
  <c r="B13" i="75"/>
  <c r="C12" i="75"/>
  <c r="D12" i="75" s="1"/>
  <c r="E12" i="75"/>
  <c r="F12" i="75" s="1"/>
  <c r="E10" i="74"/>
  <c r="F10" i="74" s="1"/>
  <c r="B11" i="74"/>
  <c r="C10" i="74"/>
  <c r="D10" i="74" s="1"/>
  <c r="C12" i="71"/>
  <c r="D12" i="71" s="1"/>
  <c r="E12" i="71" s="1"/>
  <c r="B15" i="71" l="1"/>
  <c r="B13" i="80"/>
  <c r="C12" i="80"/>
  <c r="D12" i="80" s="1"/>
  <c r="E12" i="80"/>
  <c r="F12" i="80" s="1"/>
  <c r="B13" i="78"/>
  <c r="C12" i="78"/>
  <c r="D12" i="78" s="1"/>
  <c r="E12" i="78"/>
  <c r="F12" i="78" s="1"/>
  <c r="B13" i="77"/>
  <c r="C12" i="77"/>
  <c r="D12" i="77" s="1"/>
  <c r="E12" i="77"/>
  <c r="F12" i="77" s="1"/>
  <c r="B12" i="76"/>
  <c r="E11" i="76"/>
  <c r="F11" i="76" s="1"/>
  <c r="C11" i="76"/>
  <c r="D11" i="76" s="1"/>
  <c r="E13" i="75"/>
  <c r="F13" i="75" s="1"/>
  <c r="B14" i="75"/>
  <c r="C13" i="75"/>
  <c r="D13" i="75" s="1"/>
  <c r="C11" i="74"/>
  <c r="D11" i="74" s="1"/>
  <c r="E11" i="74"/>
  <c r="F11" i="74" s="1"/>
  <c r="B12" i="74"/>
  <c r="C13" i="71"/>
  <c r="D13" i="71" s="1"/>
  <c r="E13" i="71" s="1"/>
  <c r="B16" i="71" l="1"/>
  <c r="B14" i="80"/>
  <c r="E13" i="80"/>
  <c r="F13" i="80" s="1"/>
  <c r="C13" i="80"/>
  <c r="D13" i="80" s="1"/>
  <c r="E13" i="78"/>
  <c r="F13" i="78" s="1"/>
  <c r="C13" i="78"/>
  <c r="D13" i="78" s="1"/>
  <c r="B14" i="78"/>
  <c r="E13" i="77"/>
  <c r="F13" i="77" s="1"/>
  <c r="B14" i="77"/>
  <c r="C13" i="77"/>
  <c r="D13" i="77" s="1"/>
  <c r="B13" i="76"/>
  <c r="C12" i="76"/>
  <c r="D12" i="76" s="1"/>
  <c r="E12" i="76"/>
  <c r="F12" i="76" s="1"/>
  <c r="E14" i="75"/>
  <c r="F14" i="75" s="1"/>
  <c r="C14" i="75"/>
  <c r="D14" i="75" s="1"/>
  <c r="B15" i="75"/>
  <c r="C12" i="74"/>
  <c r="D12" i="74" s="1"/>
  <c r="B13" i="74"/>
  <c r="E12" i="74"/>
  <c r="F12" i="74" s="1"/>
  <c r="C14" i="71"/>
  <c r="D14" i="71" s="1"/>
  <c r="E14" i="71" s="1"/>
  <c r="B17" i="71" l="1"/>
  <c r="E14" i="80"/>
  <c r="F14" i="80" s="1"/>
  <c r="B15" i="80"/>
  <c r="C14" i="80"/>
  <c r="D14" i="80" s="1"/>
  <c r="E14" i="78"/>
  <c r="F14" i="78" s="1"/>
  <c r="C14" i="78"/>
  <c r="D14" i="78" s="1"/>
  <c r="B15" i="78"/>
  <c r="E14" i="77"/>
  <c r="F14" i="77" s="1"/>
  <c r="B15" i="77"/>
  <c r="C14" i="77"/>
  <c r="D14" i="77" s="1"/>
  <c r="E13" i="76"/>
  <c r="F13" i="76" s="1"/>
  <c r="C13" i="76"/>
  <c r="D13" i="76" s="1"/>
  <c r="B14" i="76"/>
  <c r="B16" i="75"/>
  <c r="C15" i="75"/>
  <c r="D15" i="75" s="1"/>
  <c r="E15" i="75"/>
  <c r="F15" i="75" s="1"/>
  <c r="B14" i="74"/>
  <c r="C13" i="74"/>
  <c r="D13" i="74" s="1"/>
  <c r="E13" i="74"/>
  <c r="F13" i="74" s="1"/>
  <c r="C15" i="71"/>
  <c r="D15" i="71" s="1"/>
  <c r="E15" i="71" s="1"/>
  <c r="B18" i="71" l="1"/>
  <c r="B16" i="80"/>
  <c r="C15" i="80"/>
  <c r="D15" i="80" s="1"/>
  <c r="E15" i="80"/>
  <c r="F15" i="80" s="1"/>
  <c r="B16" i="78"/>
  <c r="C15" i="78"/>
  <c r="D15" i="78" s="1"/>
  <c r="E15" i="78"/>
  <c r="F15" i="78" s="1"/>
  <c r="B16" i="77"/>
  <c r="C15" i="77"/>
  <c r="D15" i="77" s="1"/>
  <c r="E15" i="77"/>
  <c r="F15" i="77" s="1"/>
  <c r="E14" i="76"/>
  <c r="F14" i="76" s="1"/>
  <c r="C14" i="76"/>
  <c r="D14" i="76" s="1"/>
  <c r="B15" i="76"/>
  <c r="B17" i="75"/>
  <c r="C16" i="75"/>
  <c r="D16" i="75" s="1"/>
  <c r="E16" i="75"/>
  <c r="F16" i="75" s="1"/>
  <c r="B15" i="74"/>
  <c r="C14" i="74"/>
  <c r="D14" i="74" s="1"/>
  <c r="E14" i="74"/>
  <c r="F14" i="74" s="1"/>
  <c r="C16" i="71"/>
  <c r="D16" i="71" s="1"/>
  <c r="E16" i="71" s="1"/>
  <c r="B19" i="71" l="1"/>
  <c r="B17" i="80"/>
  <c r="C16" i="80"/>
  <c r="D16" i="80" s="1"/>
  <c r="E16" i="80"/>
  <c r="F16" i="80" s="1"/>
  <c r="B17" i="78"/>
  <c r="C16" i="78"/>
  <c r="D16" i="78" s="1"/>
  <c r="E16" i="78"/>
  <c r="F16" i="78" s="1"/>
  <c r="B17" i="77"/>
  <c r="C16" i="77"/>
  <c r="D16" i="77" s="1"/>
  <c r="E16" i="77"/>
  <c r="F16" i="77" s="1"/>
  <c r="B16" i="76"/>
  <c r="C15" i="76"/>
  <c r="D15" i="76" s="1"/>
  <c r="E15" i="76"/>
  <c r="F15" i="76" s="1"/>
  <c r="E17" i="75"/>
  <c r="F17" i="75" s="1"/>
  <c r="B18" i="75"/>
  <c r="C17" i="75"/>
  <c r="D17" i="75" s="1"/>
  <c r="E15" i="74"/>
  <c r="F15" i="74" s="1"/>
  <c r="C15" i="74"/>
  <c r="D15" i="74" s="1"/>
  <c r="B16" i="74"/>
  <c r="C17" i="71"/>
  <c r="D17" i="71" s="1"/>
  <c r="E17" i="71" s="1"/>
  <c r="B20" i="71" l="1"/>
  <c r="E17" i="80"/>
  <c r="F17" i="80" s="1"/>
  <c r="B18" i="80"/>
  <c r="C17" i="80"/>
  <c r="D17" i="80" s="1"/>
  <c r="E17" i="78"/>
  <c r="F17" i="78" s="1"/>
  <c r="C17" i="78"/>
  <c r="D17" i="78" s="1"/>
  <c r="B18" i="78"/>
  <c r="E17" i="77"/>
  <c r="F17" i="77" s="1"/>
  <c r="B18" i="77"/>
  <c r="C17" i="77"/>
  <c r="D17" i="77" s="1"/>
  <c r="B17" i="76"/>
  <c r="C16" i="76"/>
  <c r="D16" i="76" s="1"/>
  <c r="E16" i="76"/>
  <c r="F16" i="76" s="1"/>
  <c r="E18" i="75"/>
  <c r="F18" i="75" s="1"/>
  <c r="B19" i="75"/>
  <c r="C18" i="75"/>
  <c r="D18" i="75" s="1"/>
  <c r="E16" i="74"/>
  <c r="F16" i="74" s="1"/>
  <c r="B17" i="74"/>
  <c r="C16" i="74"/>
  <c r="D16" i="74" s="1"/>
  <c r="C18" i="71"/>
  <c r="D18" i="71" s="1"/>
  <c r="E18" i="71" s="1"/>
  <c r="B21" i="71" l="1"/>
  <c r="E18" i="80"/>
  <c r="F18" i="80" s="1"/>
  <c r="B19" i="80"/>
  <c r="C18" i="80"/>
  <c r="D18" i="80" s="1"/>
  <c r="E18" i="78"/>
  <c r="F18" i="78" s="1"/>
  <c r="C18" i="78"/>
  <c r="D18" i="78" s="1"/>
  <c r="B19" i="78"/>
  <c r="E18" i="77"/>
  <c r="F18" i="77" s="1"/>
  <c r="B19" i="77"/>
  <c r="C18" i="77"/>
  <c r="D18" i="77" s="1"/>
  <c r="E17" i="76"/>
  <c r="F17" i="76" s="1"/>
  <c r="C17" i="76"/>
  <c r="D17" i="76" s="1"/>
  <c r="B18" i="76"/>
  <c r="B20" i="75"/>
  <c r="C19" i="75"/>
  <c r="D19" i="75" s="1"/>
  <c r="E19" i="75"/>
  <c r="F19" i="75" s="1"/>
  <c r="B18" i="74"/>
  <c r="C17" i="74"/>
  <c r="D17" i="74" s="1"/>
  <c r="E17" i="74"/>
  <c r="F17" i="74" s="1"/>
  <c r="C19" i="71"/>
  <c r="D19" i="71" s="1"/>
  <c r="E19" i="71" s="1"/>
  <c r="B22" i="71" l="1"/>
  <c r="B20" i="80"/>
  <c r="C19" i="80"/>
  <c r="D19" i="80" s="1"/>
  <c r="E19" i="80"/>
  <c r="F19" i="80" s="1"/>
  <c r="B20" i="78"/>
  <c r="C19" i="78"/>
  <c r="D19" i="78" s="1"/>
  <c r="E19" i="78"/>
  <c r="F19" i="78" s="1"/>
  <c r="B20" i="77"/>
  <c r="C19" i="77"/>
  <c r="D19" i="77" s="1"/>
  <c r="E19" i="77"/>
  <c r="F19" i="77" s="1"/>
  <c r="E18" i="76"/>
  <c r="F18" i="76" s="1"/>
  <c r="B19" i="76"/>
  <c r="C18" i="76"/>
  <c r="D18" i="76" s="1"/>
  <c r="B21" i="75"/>
  <c r="C20" i="75"/>
  <c r="D20" i="75" s="1"/>
  <c r="E20" i="75"/>
  <c r="F20" i="75" s="1"/>
  <c r="E18" i="74"/>
  <c r="F18" i="74" s="1"/>
  <c r="B19" i="74"/>
  <c r="C18" i="74"/>
  <c r="D18" i="74" s="1"/>
  <c r="C20" i="71"/>
  <c r="D20" i="71" s="1"/>
  <c r="E20" i="71" s="1"/>
  <c r="B23" i="71" l="1"/>
  <c r="B21" i="80"/>
  <c r="C20" i="80"/>
  <c r="D20" i="80" s="1"/>
  <c r="E20" i="80"/>
  <c r="F20" i="80" s="1"/>
  <c r="B21" i="78"/>
  <c r="C20" i="78"/>
  <c r="D20" i="78" s="1"/>
  <c r="E20" i="78"/>
  <c r="F20" i="78" s="1"/>
  <c r="B21" i="77"/>
  <c r="C20" i="77"/>
  <c r="D20" i="77" s="1"/>
  <c r="E20" i="77"/>
  <c r="F20" i="77" s="1"/>
  <c r="B20" i="76"/>
  <c r="C19" i="76"/>
  <c r="D19" i="76" s="1"/>
  <c r="E19" i="76"/>
  <c r="F19" i="76" s="1"/>
  <c r="B22" i="75"/>
  <c r="E21" i="75"/>
  <c r="F21" i="75" s="1"/>
  <c r="C21" i="75"/>
  <c r="D21" i="75" s="1"/>
  <c r="B20" i="74"/>
  <c r="E19" i="74"/>
  <c r="F19" i="74" s="1"/>
  <c r="C19" i="74"/>
  <c r="D19" i="74" s="1"/>
  <c r="C21" i="71"/>
  <c r="D21" i="71" s="1"/>
  <c r="E21" i="71" s="1"/>
  <c r="B24" i="71" l="1"/>
  <c r="C21" i="80"/>
  <c r="D21" i="80" s="1"/>
  <c r="E21" i="80"/>
  <c r="F21" i="80" s="1"/>
  <c r="B22" i="80"/>
  <c r="B22" i="78"/>
  <c r="E21" i="78"/>
  <c r="F21" i="78" s="1"/>
  <c r="C21" i="78"/>
  <c r="D21" i="78" s="1"/>
  <c r="E21" i="77"/>
  <c r="F21" i="77" s="1"/>
  <c r="C21" i="77"/>
  <c r="D21" i="77" s="1"/>
  <c r="B22" i="77"/>
  <c r="B21" i="76"/>
  <c r="C20" i="76"/>
  <c r="D20" i="76" s="1"/>
  <c r="E20" i="76"/>
  <c r="F20" i="76" s="1"/>
  <c r="B23" i="75"/>
  <c r="C22" i="75"/>
  <c r="D22" i="75" s="1"/>
  <c r="E22" i="75"/>
  <c r="F22" i="75" s="1"/>
  <c r="E20" i="74"/>
  <c r="F20" i="74" s="1"/>
  <c r="B21" i="74"/>
  <c r="C20" i="74"/>
  <c r="D20" i="74" s="1"/>
  <c r="C22" i="71"/>
  <c r="D22" i="71" s="1"/>
  <c r="E22" i="71" s="1"/>
  <c r="B25" i="71" l="1"/>
  <c r="B23" i="80"/>
  <c r="C22" i="80"/>
  <c r="D22" i="80" s="1"/>
  <c r="E22" i="80"/>
  <c r="F22" i="80" s="1"/>
  <c r="B23" i="78"/>
  <c r="C22" i="78"/>
  <c r="D22" i="78" s="1"/>
  <c r="E22" i="78"/>
  <c r="F22" i="78" s="1"/>
  <c r="B23" i="77"/>
  <c r="C22" i="77"/>
  <c r="D22" i="77" s="1"/>
  <c r="E22" i="77"/>
  <c r="F22" i="77" s="1"/>
  <c r="E21" i="76"/>
  <c r="F21" i="76" s="1"/>
  <c r="B22" i="76"/>
  <c r="C21" i="76"/>
  <c r="D21" i="76" s="1"/>
  <c r="B24" i="75"/>
  <c r="C23" i="75"/>
  <c r="D23" i="75" s="1"/>
  <c r="E23" i="75"/>
  <c r="F23" i="75" s="1"/>
  <c r="B22" i="74"/>
  <c r="C21" i="74"/>
  <c r="D21" i="74" s="1"/>
  <c r="E21" i="74"/>
  <c r="F21" i="74" s="1"/>
  <c r="C23" i="71"/>
  <c r="D23" i="71" s="1"/>
  <c r="E23" i="71" s="1"/>
  <c r="B26" i="71" l="1"/>
  <c r="B24" i="80"/>
  <c r="C23" i="80"/>
  <c r="D23" i="80" s="1"/>
  <c r="E23" i="80"/>
  <c r="F23" i="80" s="1"/>
  <c r="B24" i="78"/>
  <c r="C23" i="78"/>
  <c r="D23" i="78" s="1"/>
  <c r="E23" i="78"/>
  <c r="F23" i="78" s="1"/>
  <c r="B24" i="77"/>
  <c r="C23" i="77"/>
  <c r="D23" i="77" s="1"/>
  <c r="E23" i="77"/>
  <c r="F23" i="77" s="1"/>
  <c r="B23" i="76"/>
  <c r="C22" i="76"/>
  <c r="D22" i="76" s="1"/>
  <c r="E22" i="76"/>
  <c r="F22" i="76" s="1"/>
  <c r="E24" i="75"/>
  <c r="F24" i="75" s="1"/>
  <c r="B25" i="75"/>
  <c r="C24" i="75"/>
  <c r="D24" i="75" s="1"/>
  <c r="E22" i="74"/>
  <c r="F22" i="74" s="1"/>
  <c r="C22" i="74"/>
  <c r="D22" i="74" s="1"/>
  <c r="B23" i="74"/>
  <c r="C24" i="71"/>
  <c r="D24" i="71" s="1"/>
  <c r="E24" i="71" s="1"/>
  <c r="B27" i="71" l="1"/>
  <c r="C24" i="80"/>
  <c r="D24" i="80" s="1"/>
  <c r="E24" i="80"/>
  <c r="F24" i="80" s="1"/>
  <c r="B25" i="80"/>
  <c r="E24" i="78"/>
  <c r="F24" i="78" s="1"/>
  <c r="B25" i="78"/>
  <c r="C24" i="78"/>
  <c r="D24" i="78" s="1"/>
  <c r="B25" i="77"/>
  <c r="E24" i="77"/>
  <c r="F24" i="77" s="1"/>
  <c r="C24" i="77"/>
  <c r="D24" i="77" s="1"/>
  <c r="B24" i="76"/>
  <c r="C23" i="76"/>
  <c r="D23" i="76" s="1"/>
  <c r="E23" i="76"/>
  <c r="F23" i="76" s="1"/>
  <c r="E25" i="75"/>
  <c r="F25" i="75" s="1"/>
  <c r="C25" i="75"/>
  <c r="D25" i="75" s="1"/>
  <c r="B26" i="75"/>
  <c r="E23" i="74"/>
  <c r="F23" i="74" s="1"/>
  <c r="B24" i="74"/>
  <c r="C23" i="74"/>
  <c r="D23" i="74" s="1"/>
  <c r="C25" i="71"/>
  <c r="D25" i="71" s="1"/>
  <c r="E25" i="71" s="1"/>
  <c r="B28" i="71" l="1"/>
  <c r="E25" i="80"/>
  <c r="F25" i="80" s="1"/>
  <c r="B26" i="80"/>
  <c r="C25" i="80"/>
  <c r="D25" i="80" s="1"/>
  <c r="E25" i="78"/>
  <c r="F25" i="78" s="1"/>
  <c r="B26" i="78"/>
  <c r="C25" i="78"/>
  <c r="D25" i="78" s="1"/>
  <c r="E25" i="77"/>
  <c r="F25" i="77" s="1"/>
  <c r="B26" i="77"/>
  <c r="C25" i="77"/>
  <c r="D25" i="77" s="1"/>
  <c r="E24" i="76"/>
  <c r="F24" i="76" s="1"/>
  <c r="B25" i="76"/>
  <c r="C24" i="76"/>
  <c r="D24" i="76" s="1"/>
  <c r="B27" i="75"/>
  <c r="C26" i="75"/>
  <c r="D26" i="75" s="1"/>
  <c r="E26" i="75"/>
  <c r="F26" i="75" s="1"/>
  <c r="B25" i="74"/>
  <c r="C24" i="74"/>
  <c r="D24" i="74" s="1"/>
  <c r="E24" i="74"/>
  <c r="F24" i="74" s="1"/>
  <c r="C26" i="71"/>
  <c r="D26" i="71" s="1"/>
  <c r="E26" i="71" s="1"/>
  <c r="B29" i="71" l="1"/>
  <c r="B27" i="80"/>
  <c r="C26" i="80"/>
  <c r="D26" i="80" s="1"/>
  <c r="E26" i="80"/>
  <c r="F26" i="80" s="1"/>
  <c r="B27" i="78"/>
  <c r="C26" i="78"/>
  <c r="D26" i="78" s="1"/>
  <c r="E26" i="78"/>
  <c r="F26" i="78" s="1"/>
  <c r="B27" i="77"/>
  <c r="C26" i="77"/>
  <c r="D26" i="77" s="1"/>
  <c r="E26" i="77"/>
  <c r="F26" i="77" s="1"/>
  <c r="E25" i="76"/>
  <c r="F25" i="76" s="1"/>
  <c r="C25" i="76"/>
  <c r="D25" i="76" s="1"/>
  <c r="B26" i="76"/>
  <c r="B28" i="75"/>
  <c r="C27" i="75"/>
  <c r="D27" i="75" s="1"/>
  <c r="E27" i="75"/>
  <c r="F27" i="75" s="1"/>
  <c r="B26" i="74"/>
  <c r="C25" i="74"/>
  <c r="D25" i="74" s="1"/>
  <c r="E25" i="74"/>
  <c r="F25" i="74" s="1"/>
  <c r="C27" i="71"/>
  <c r="D27" i="71" s="1"/>
  <c r="E27" i="71" s="1"/>
  <c r="B30" i="71" l="1"/>
  <c r="J28" i="75"/>
  <c r="J31" i="75" s="1"/>
  <c r="B28" i="80"/>
  <c r="C27" i="80"/>
  <c r="D27" i="80" s="1"/>
  <c r="E27" i="80"/>
  <c r="F27" i="80" s="1"/>
  <c r="B28" i="78"/>
  <c r="C27" i="78"/>
  <c r="D27" i="78" s="1"/>
  <c r="E27" i="78"/>
  <c r="F27" i="78" s="1"/>
  <c r="B28" i="77"/>
  <c r="C27" i="77"/>
  <c r="D27" i="77" s="1"/>
  <c r="E27" i="77"/>
  <c r="F27" i="77" s="1"/>
  <c r="B27" i="76"/>
  <c r="C26" i="76"/>
  <c r="D26" i="76" s="1"/>
  <c r="E26" i="76"/>
  <c r="F26" i="76" s="1"/>
  <c r="B29" i="75"/>
  <c r="E28" i="75"/>
  <c r="F28" i="75" s="1"/>
  <c r="C28" i="75"/>
  <c r="D28" i="75" s="1"/>
  <c r="E26" i="74"/>
  <c r="F26" i="74" s="1"/>
  <c r="C26" i="74"/>
  <c r="D26" i="74" s="1"/>
  <c r="B27" i="74"/>
  <c r="C28" i="71"/>
  <c r="D28" i="71" s="1"/>
  <c r="E28" i="71" s="1"/>
  <c r="E28" i="80" l="1"/>
  <c r="F28" i="80" s="1"/>
  <c r="C28" i="80"/>
  <c r="D28" i="80" s="1"/>
  <c r="B29" i="80"/>
  <c r="B29" i="78"/>
  <c r="E28" i="78"/>
  <c r="F28" i="78" s="1"/>
  <c r="C28" i="78"/>
  <c r="D28" i="78" s="1"/>
  <c r="E28" i="77"/>
  <c r="F28" i="77" s="1"/>
  <c r="C28" i="77"/>
  <c r="D28" i="77" s="1"/>
  <c r="B29" i="77"/>
  <c r="B28" i="76"/>
  <c r="C27" i="76"/>
  <c r="D27" i="76" s="1"/>
  <c r="E27" i="76"/>
  <c r="F27" i="76" s="1"/>
  <c r="B30" i="75"/>
  <c r="C29" i="75"/>
  <c r="D29" i="75" s="1"/>
  <c r="E29" i="75"/>
  <c r="F29" i="75" s="1"/>
  <c r="E27" i="74"/>
  <c r="F27" i="74" s="1"/>
  <c r="C27" i="74"/>
  <c r="D27" i="74" s="1"/>
  <c r="B28" i="74"/>
  <c r="C29" i="71"/>
  <c r="D29" i="71" s="1"/>
  <c r="E29" i="71" s="1"/>
  <c r="B30" i="80" l="1"/>
  <c r="C29" i="80"/>
  <c r="D29" i="80" s="1"/>
  <c r="E29" i="80"/>
  <c r="F29" i="80" s="1"/>
  <c r="B30" i="78"/>
  <c r="C29" i="78"/>
  <c r="D29" i="78" s="1"/>
  <c r="E29" i="78"/>
  <c r="F29" i="78" s="1"/>
  <c r="E29" i="77"/>
  <c r="F29" i="77" s="1"/>
  <c r="B30" i="77"/>
  <c r="C29" i="77"/>
  <c r="D29" i="77" s="1"/>
  <c r="E28" i="76"/>
  <c r="F28" i="76" s="1"/>
  <c r="C28" i="76"/>
  <c r="D28" i="76" s="1"/>
  <c r="B29" i="76"/>
  <c r="B31" i="75"/>
  <c r="C30" i="75"/>
  <c r="D30" i="75" s="1"/>
  <c r="E30" i="75"/>
  <c r="F30" i="75" s="1"/>
  <c r="B29" i="74"/>
  <c r="C28" i="74"/>
  <c r="D28" i="74" s="1"/>
  <c r="E28" i="74"/>
  <c r="F28" i="74" s="1"/>
  <c r="C30" i="71"/>
  <c r="D30" i="71" s="1"/>
  <c r="D31" i="71" l="1"/>
  <c r="E30" i="71"/>
  <c r="B31" i="80"/>
  <c r="C30" i="80"/>
  <c r="D30" i="80" s="1"/>
  <c r="E30" i="80"/>
  <c r="F30" i="80" s="1"/>
  <c r="B31" i="78"/>
  <c r="C30" i="78"/>
  <c r="D30" i="78" s="1"/>
  <c r="E30" i="78"/>
  <c r="F30" i="78" s="1"/>
  <c r="B31" i="77"/>
  <c r="C30" i="77"/>
  <c r="D30" i="77" s="1"/>
  <c r="E30" i="77"/>
  <c r="F30" i="77" s="1"/>
  <c r="B30" i="76"/>
  <c r="C29" i="76"/>
  <c r="D29" i="76" s="1"/>
  <c r="E29" i="76"/>
  <c r="F29" i="76" s="1"/>
  <c r="B32" i="75"/>
  <c r="E31" i="75"/>
  <c r="F31" i="75" s="1"/>
  <c r="C31" i="75"/>
  <c r="D31" i="75" s="1"/>
  <c r="E29" i="74"/>
  <c r="F29" i="74" s="1"/>
  <c r="B30" i="74"/>
  <c r="C29" i="74"/>
  <c r="D29" i="74" s="1"/>
  <c r="C31" i="71"/>
  <c r="C31" i="80" l="1"/>
  <c r="D31" i="80" s="1"/>
  <c r="E31" i="80"/>
  <c r="F31" i="80" s="1"/>
  <c r="B32" i="80"/>
  <c r="E31" i="78"/>
  <c r="F31" i="78" s="1"/>
  <c r="B32" i="78"/>
  <c r="C31" i="78"/>
  <c r="D31" i="78" s="1"/>
  <c r="E31" i="77"/>
  <c r="F31" i="77" s="1"/>
  <c r="C31" i="77"/>
  <c r="D31" i="77" s="1"/>
  <c r="B32" i="77"/>
  <c r="B31" i="76"/>
  <c r="C30" i="76"/>
  <c r="D30" i="76" s="1"/>
  <c r="E30" i="76"/>
  <c r="F30" i="76" s="1"/>
  <c r="B33" i="75"/>
  <c r="C32" i="75"/>
  <c r="D32" i="75" s="1"/>
  <c r="E32" i="75"/>
  <c r="F32" i="75" s="1"/>
  <c r="B31" i="74"/>
  <c r="C30" i="74"/>
  <c r="D30" i="74" s="1"/>
  <c r="E30" i="74"/>
  <c r="F30" i="74" s="1"/>
  <c r="E31" i="71"/>
  <c r="B33" i="80" l="1"/>
  <c r="C32" i="80"/>
  <c r="D32" i="80" s="1"/>
  <c r="E32" i="80"/>
  <c r="F32" i="80" s="1"/>
  <c r="B33" i="78"/>
  <c r="C32" i="78"/>
  <c r="D32" i="78" s="1"/>
  <c r="E32" i="78"/>
  <c r="F32" i="78" s="1"/>
  <c r="E32" i="77"/>
  <c r="F32" i="77" s="1"/>
  <c r="B33" i="77"/>
  <c r="C32" i="77"/>
  <c r="D32" i="77" s="1"/>
  <c r="E31" i="76"/>
  <c r="F31" i="76" s="1"/>
  <c r="C31" i="76"/>
  <c r="D31" i="76" s="1"/>
  <c r="B32" i="76"/>
  <c r="B34" i="75"/>
  <c r="C33" i="75"/>
  <c r="D33" i="75" s="1"/>
  <c r="E33" i="75"/>
  <c r="F33" i="75" s="1"/>
  <c r="E31" i="74"/>
  <c r="F31" i="74" s="1"/>
  <c r="C31" i="74"/>
  <c r="D31" i="74" s="1"/>
  <c r="B32" i="74"/>
  <c r="K44" i="70"/>
  <c r="K45" i="70" s="1"/>
  <c r="K46" i="70" s="1"/>
  <c r="K47" i="70" s="1"/>
  <c r="K48" i="70" s="1"/>
  <c r="J44" i="70"/>
  <c r="J45" i="70" s="1"/>
  <c r="J46" i="70" s="1"/>
  <c r="J47" i="70" s="1"/>
  <c r="J48" i="70" s="1"/>
  <c r="I44" i="70"/>
  <c r="I45" i="70" s="1"/>
  <c r="I46" i="70" s="1"/>
  <c r="I47" i="70" s="1"/>
  <c r="I48" i="70" s="1"/>
  <c r="H44" i="70"/>
  <c r="H45" i="70" s="1"/>
  <c r="H46" i="70" s="1"/>
  <c r="H47" i="70" s="1"/>
  <c r="H48" i="70" s="1"/>
  <c r="D9" i="70"/>
  <c r="D11" i="70"/>
  <c r="H11" i="67"/>
  <c r="V44" i="69"/>
  <c r="V45" i="69" s="1"/>
  <c r="V46" i="69" s="1"/>
  <c r="V47" i="69" s="1"/>
  <c r="V48" i="69" s="1"/>
  <c r="U44" i="69"/>
  <c r="U45" i="69" s="1"/>
  <c r="U46" i="69" s="1"/>
  <c r="U47" i="69" s="1"/>
  <c r="U48" i="69" s="1"/>
  <c r="T44" i="69"/>
  <c r="T45" i="69" s="1"/>
  <c r="T46" i="69" s="1"/>
  <c r="T47" i="69" s="1"/>
  <c r="T48" i="69" s="1"/>
  <c r="S44" i="69"/>
  <c r="S45" i="69" s="1"/>
  <c r="S46" i="69" s="1"/>
  <c r="S47" i="69" s="1"/>
  <c r="S48" i="69" s="1"/>
  <c r="AE26" i="69"/>
  <c r="AD26" i="69"/>
  <c r="AC26" i="69"/>
  <c r="AB26" i="69"/>
  <c r="S7" i="69" s="1"/>
  <c r="AE25" i="69"/>
  <c r="AD25" i="69"/>
  <c r="AC25" i="69"/>
  <c r="AB25" i="69"/>
  <c r="V7" i="69"/>
  <c r="U7" i="69"/>
  <c r="T7" i="69"/>
  <c r="F6" i="69"/>
  <c r="I6" i="69" s="1"/>
  <c r="J8" i="65"/>
  <c r="J16" i="65" s="1"/>
  <c r="L44" i="68"/>
  <c r="L45" i="68" s="1"/>
  <c r="L46" i="68" s="1"/>
  <c r="L47" i="68" s="1"/>
  <c r="L48" i="68" s="1"/>
  <c r="K44" i="68"/>
  <c r="K45" i="68" s="1"/>
  <c r="K46" i="68" s="1"/>
  <c r="K47" i="68" s="1"/>
  <c r="K48" i="68" s="1"/>
  <c r="J44" i="68"/>
  <c r="J45" i="68" s="1"/>
  <c r="J46" i="68" s="1"/>
  <c r="J47" i="68" s="1"/>
  <c r="J48" i="68" s="1"/>
  <c r="I44" i="68"/>
  <c r="I45" i="68" s="1"/>
  <c r="I46" i="68" s="1"/>
  <c r="I47" i="68" s="1"/>
  <c r="I48" i="68" s="1"/>
  <c r="J17" i="65" l="1"/>
  <c r="E9" i="70"/>
  <c r="E11" i="70"/>
  <c r="E5" i="70"/>
  <c r="H17" i="67"/>
  <c r="D18" i="69"/>
  <c r="E18" i="69" s="1"/>
  <c r="F5" i="69"/>
  <c r="D21" i="69"/>
  <c r="E21" i="69" s="1"/>
  <c r="D17" i="69"/>
  <c r="E17" i="69" s="1"/>
  <c r="D24" i="69"/>
  <c r="E24" i="69" s="1"/>
  <c r="D20" i="69"/>
  <c r="E20" i="69" s="1"/>
  <c r="I16" i="69"/>
  <c r="D23" i="69"/>
  <c r="E23" i="69" s="1"/>
  <c r="D19" i="69"/>
  <c r="E19" i="69" s="1"/>
  <c r="D15" i="69"/>
  <c r="E15" i="69" s="1"/>
  <c r="B34" i="80"/>
  <c r="C33" i="80"/>
  <c r="D33" i="80" s="1"/>
  <c r="E33" i="80"/>
  <c r="F33" i="80" s="1"/>
  <c r="B34" i="78"/>
  <c r="C33" i="78"/>
  <c r="D33" i="78" s="1"/>
  <c r="E33" i="78"/>
  <c r="F33" i="78" s="1"/>
  <c r="B34" i="77"/>
  <c r="C33" i="77"/>
  <c r="D33" i="77" s="1"/>
  <c r="E33" i="77"/>
  <c r="F33" i="77" s="1"/>
  <c r="B33" i="76"/>
  <c r="C32" i="76"/>
  <c r="D32" i="76" s="1"/>
  <c r="E32" i="76"/>
  <c r="F32" i="76" s="1"/>
  <c r="E34" i="75"/>
  <c r="F34" i="75" s="1"/>
  <c r="C34" i="75"/>
  <c r="D34" i="75" s="1"/>
  <c r="B35" i="75"/>
  <c r="B33" i="74"/>
  <c r="C32" i="74"/>
  <c r="D32" i="74" s="1"/>
  <c r="E32" i="74"/>
  <c r="F32" i="74" s="1"/>
  <c r="D14" i="70"/>
  <c r="D17" i="70"/>
  <c r="D19" i="70"/>
  <c r="D12" i="70"/>
  <c r="D15" i="70"/>
  <c r="D21" i="70"/>
  <c r="D10" i="70"/>
  <c r="D13" i="70"/>
  <c r="D23" i="70"/>
  <c r="D6" i="70"/>
  <c r="D7" i="70"/>
  <c r="D8" i="70"/>
  <c r="D16" i="70"/>
  <c r="D18" i="70"/>
  <c r="D20" i="70"/>
  <c r="D22" i="70"/>
  <c r="D24" i="70"/>
  <c r="H6" i="69"/>
  <c r="K6" i="69" s="1"/>
  <c r="F8" i="69"/>
  <c r="H8" i="69" s="1"/>
  <c r="F11" i="69"/>
  <c r="F13" i="69"/>
  <c r="G23" i="69"/>
  <c r="J23" i="69" s="1"/>
  <c r="I16" i="67"/>
  <c r="F7" i="69"/>
  <c r="H22" i="69"/>
  <c r="K22" i="69" s="1"/>
  <c r="F9" i="69"/>
  <c r="F14" i="69"/>
  <c r="G14" i="69" s="1"/>
  <c r="J14" i="69" s="1"/>
  <c r="H24" i="69"/>
  <c r="K24" i="69" s="1"/>
  <c r="I17" i="67"/>
  <c r="H16" i="67"/>
  <c r="I22" i="69"/>
  <c r="F10" i="69"/>
  <c r="F12" i="69"/>
  <c r="G15" i="69"/>
  <c r="J15" i="69" s="1"/>
  <c r="G6" i="69"/>
  <c r="J6" i="69" s="1"/>
  <c r="H23" i="69"/>
  <c r="K23" i="69" s="1"/>
  <c r="C6" i="69"/>
  <c r="D6" i="69" s="1"/>
  <c r="E6" i="69" s="1"/>
  <c r="H15" i="69"/>
  <c r="G11" i="69"/>
  <c r="J11" i="69" s="1"/>
  <c r="I17" i="69"/>
  <c r="H17" i="69"/>
  <c r="G17" i="69"/>
  <c r="J17" i="69" s="1"/>
  <c r="L6" i="69"/>
  <c r="G7" i="69"/>
  <c r="J7" i="69" s="1"/>
  <c r="C10" i="69"/>
  <c r="D10" i="69" s="1"/>
  <c r="E10" i="69" s="1"/>
  <c r="G18" i="69"/>
  <c r="J18" i="69" s="1"/>
  <c r="G19" i="69"/>
  <c r="J19" i="69" s="1"/>
  <c r="I5" i="69"/>
  <c r="H5" i="69"/>
  <c r="C5" i="69"/>
  <c r="D5" i="69" s="1"/>
  <c r="E5" i="69" s="1"/>
  <c r="G5" i="69"/>
  <c r="J5" i="69" s="1"/>
  <c r="I9" i="69"/>
  <c r="G9" i="69"/>
  <c r="J9" i="69" s="1"/>
  <c r="H9" i="69"/>
  <c r="C9" i="69"/>
  <c r="D9" i="69" s="1"/>
  <c r="E9" i="69" s="1"/>
  <c r="I13" i="69"/>
  <c r="H13" i="69"/>
  <c r="G13" i="69"/>
  <c r="J13" i="69" s="1"/>
  <c r="C13" i="69"/>
  <c r="D13" i="69" s="1"/>
  <c r="E13" i="69" s="1"/>
  <c r="I15" i="69"/>
  <c r="H18" i="69"/>
  <c r="I19" i="69"/>
  <c r="I23" i="69"/>
  <c r="I10" i="69"/>
  <c r="C12" i="69"/>
  <c r="D12" i="69" s="1"/>
  <c r="E12" i="69" s="1"/>
  <c r="G12" i="69"/>
  <c r="J12" i="69" s="1"/>
  <c r="I18" i="69"/>
  <c r="G20" i="69"/>
  <c r="J20" i="69" s="1"/>
  <c r="G24" i="69"/>
  <c r="J24" i="69" s="1"/>
  <c r="C7" i="69"/>
  <c r="D7" i="69" s="1"/>
  <c r="E7" i="69" s="1"/>
  <c r="C11" i="69"/>
  <c r="D11" i="69" s="1"/>
  <c r="E11" i="69" s="1"/>
  <c r="L9" i="69" l="1"/>
  <c r="K9" i="69"/>
  <c r="L13" i="69"/>
  <c r="K13" i="69"/>
  <c r="L5" i="69"/>
  <c r="K5" i="69"/>
  <c r="L8" i="69"/>
  <c r="K8" i="69"/>
  <c r="L18" i="69"/>
  <c r="K18" i="69"/>
  <c r="L17" i="69"/>
  <c r="K17" i="69"/>
  <c r="L15" i="69"/>
  <c r="K15" i="69"/>
  <c r="H14" i="69"/>
  <c r="G21" i="69"/>
  <c r="J21" i="69" s="1"/>
  <c r="G16" i="69"/>
  <c r="J16" i="69" s="1"/>
  <c r="I14" i="69"/>
  <c r="G8" i="69"/>
  <c r="J8" i="69" s="1"/>
  <c r="H21" i="69"/>
  <c r="K21" i="69" s="1"/>
  <c r="C8" i="69"/>
  <c r="D8" i="69" s="1"/>
  <c r="E8" i="69" s="1"/>
  <c r="I21" i="69"/>
  <c r="C14" i="69"/>
  <c r="D14" i="69" s="1"/>
  <c r="E14" i="69" s="1"/>
  <c r="I8" i="69"/>
  <c r="E22" i="70"/>
  <c r="E13" i="70"/>
  <c r="E12" i="70"/>
  <c r="E20" i="70"/>
  <c r="E7" i="70"/>
  <c r="E10" i="70"/>
  <c r="E19" i="70"/>
  <c r="E18" i="70"/>
  <c r="E6" i="70"/>
  <c r="E21" i="70"/>
  <c r="E17" i="70"/>
  <c r="E8" i="70"/>
  <c r="E24" i="70"/>
  <c r="E16" i="70"/>
  <c r="E23" i="70"/>
  <c r="E15" i="70"/>
  <c r="E14" i="70"/>
  <c r="H19" i="69"/>
  <c r="D22" i="69"/>
  <c r="E22" i="69" s="1"/>
  <c r="G22" i="69"/>
  <c r="J22" i="69" s="1"/>
  <c r="D16" i="69"/>
  <c r="E16" i="69" s="1"/>
  <c r="H16" i="69"/>
  <c r="M15" i="69"/>
  <c r="N15" i="69" s="1"/>
  <c r="B35" i="80"/>
  <c r="E34" i="80"/>
  <c r="F34" i="80" s="1"/>
  <c r="C34" i="80"/>
  <c r="D34" i="80" s="1"/>
  <c r="E34" i="78"/>
  <c r="F34" i="78" s="1"/>
  <c r="B35" i="78"/>
  <c r="C34" i="78"/>
  <c r="D34" i="78" s="1"/>
  <c r="E34" i="77"/>
  <c r="F34" i="77" s="1"/>
  <c r="C34" i="77"/>
  <c r="D34" i="77" s="1"/>
  <c r="B35" i="77"/>
  <c r="B34" i="76"/>
  <c r="C33" i="76"/>
  <c r="D33" i="76" s="1"/>
  <c r="E33" i="76"/>
  <c r="F33" i="76" s="1"/>
  <c r="E35" i="75"/>
  <c r="F35" i="75" s="1"/>
  <c r="C35" i="75"/>
  <c r="D35" i="75" s="1"/>
  <c r="B36" i="75"/>
  <c r="B34" i="74"/>
  <c r="C33" i="74"/>
  <c r="D33" i="74" s="1"/>
  <c r="E33" i="74"/>
  <c r="F33" i="74" s="1"/>
  <c r="H7" i="69"/>
  <c r="I7" i="69"/>
  <c r="H11" i="69"/>
  <c r="I11" i="69"/>
  <c r="H12" i="69"/>
  <c r="I12" i="69"/>
  <c r="H20" i="69"/>
  <c r="K20" i="69" s="1"/>
  <c r="I20" i="69"/>
  <c r="I24" i="69"/>
  <c r="H10" i="69"/>
  <c r="G10" i="69"/>
  <c r="J10" i="69" s="1"/>
  <c r="M6" i="69"/>
  <c r="N6" i="69" s="1"/>
  <c r="L12" i="69" l="1"/>
  <c r="K12" i="69"/>
  <c r="M12" i="69" s="1"/>
  <c r="L11" i="69"/>
  <c r="K11" i="69"/>
  <c r="L7" i="69"/>
  <c r="K7" i="69"/>
  <c r="M7" i="69" s="1"/>
  <c r="O7" i="69" s="1"/>
  <c r="L10" i="69"/>
  <c r="K10" i="69"/>
  <c r="L14" i="69"/>
  <c r="K14" i="69"/>
  <c r="M14" i="69" s="1"/>
  <c r="N14" i="69" s="1"/>
  <c r="P14" i="69" s="1"/>
  <c r="L19" i="69"/>
  <c r="K19" i="69"/>
  <c r="L16" i="69"/>
  <c r="K16" i="69"/>
  <c r="M16" i="69" s="1"/>
  <c r="E25" i="70"/>
  <c r="M11" i="69"/>
  <c r="M17" i="69"/>
  <c r="E35" i="80"/>
  <c r="F35" i="80" s="1"/>
  <c r="B36" i="80"/>
  <c r="C35" i="80"/>
  <c r="D35" i="80" s="1"/>
  <c r="E35" i="78"/>
  <c r="F35" i="78" s="1"/>
  <c r="B36" i="78"/>
  <c r="C35" i="78"/>
  <c r="D35" i="78" s="1"/>
  <c r="E35" i="77"/>
  <c r="F35" i="77" s="1"/>
  <c r="B36" i="77"/>
  <c r="C35" i="77"/>
  <c r="D35" i="77" s="1"/>
  <c r="E34" i="76"/>
  <c r="F34" i="76" s="1"/>
  <c r="C34" i="76"/>
  <c r="D34" i="76" s="1"/>
  <c r="B35" i="76"/>
  <c r="B37" i="75"/>
  <c r="C36" i="75"/>
  <c r="D36" i="75" s="1"/>
  <c r="E36" i="75"/>
  <c r="F36" i="75" s="1"/>
  <c r="E34" i="74"/>
  <c r="F34" i="74" s="1"/>
  <c r="B35" i="74"/>
  <c r="C34" i="74"/>
  <c r="D34" i="74" s="1"/>
  <c r="M9" i="69"/>
  <c r="M8" i="69"/>
  <c r="M5" i="69"/>
  <c r="N5" i="69" s="1"/>
  <c r="O9" i="69"/>
  <c r="O14" i="69"/>
  <c r="M18" i="69"/>
  <c r="N18" i="69" s="1"/>
  <c r="M19" i="69"/>
  <c r="N19" i="69" s="1"/>
  <c r="O15" i="69"/>
  <c r="P15" i="69"/>
  <c r="P6" i="69"/>
  <c r="O6" i="69"/>
  <c r="M13" i="69"/>
  <c r="N13" i="69" s="1"/>
  <c r="L20" i="69"/>
  <c r="M20" i="69" s="1"/>
  <c r="N20" i="69" s="1"/>
  <c r="N16" i="69" l="1"/>
  <c r="P16" i="69" s="1"/>
  <c r="O16" i="69"/>
  <c r="N9" i="69"/>
  <c r="P9" i="69" s="1"/>
  <c r="N11" i="69"/>
  <c r="P11" i="69" s="1"/>
  <c r="O8" i="69"/>
  <c r="N8" i="69"/>
  <c r="P8" i="69" s="1"/>
  <c r="M10" i="69"/>
  <c r="O12" i="69"/>
  <c r="N12" i="69"/>
  <c r="N7" i="69"/>
  <c r="P7" i="69" s="1"/>
  <c r="N17" i="69"/>
  <c r="P17" i="69" s="1"/>
  <c r="O11" i="69"/>
  <c r="P12" i="69"/>
  <c r="O17" i="69"/>
  <c r="O10" i="69"/>
  <c r="O5" i="69"/>
  <c r="B37" i="80"/>
  <c r="C36" i="80"/>
  <c r="D36" i="80" s="1"/>
  <c r="E36" i="80"/>
  <c r="F36" i="80" s="1"/>
  <c r="B37" i="78"/>
  <c r="C36" i="78"/>
  <c r="D36" i="78" s="1"/>
  <c r="E36" i="78"/>
  <c r="F36" i="78" s="1"/>
  <c r="B37" i="77"/>
  <c r="C36" i="77"/>
  <c r="D36" i="77" s="1"/>
  <c r="E36" i="77"/>
  <c r="F36" i="77" s="1"/>
  <c r="E35" i="76"/>
  <c r="F35" i="76" s="1"/>
  <c r="B36" i="76"/>
  <c r="C35" i="76"/>
  <c r="D35" i="76" s="1"/>
  <c r="B38" i="75"/>
  <c r="C37" i="75"/>
  <c r="D37" i="75" s="1"/>
  <c r="E37" i="75"/>
  <c r="F37" i="75" s="1"/>
  <c r="E35" i="74"/>
  <c r="F35" i="74" s="1"/>
  <c r="B36" i="74"/>
  <c r="C35" i="74"/>
  <c r="D35" i="74" s="1"/>
  <c r="O20" i="69"/>
  <c r="P20" i="69"/>
  <c r="P18" i="69"/>
  <c r="O18" i="69"/>
  <c r="P5" i="69"/>
  <c r="L21" i="69"/>
  <c r="O13" i="69"/>
  <c r="P13" i="69"/>
  <c r="O19" i="69"/>
  <c r="P19" i="69"/>
  <c r="N10" i="69" l="1"/>
  <c r="P10" i="69" s="1"/>
  <c r="B38" i="80"/>
  <c r="C37" i="80"/>
  <c r="D37" i="80" s="1"/>
  <c r="E37" i="80"/>
  <c r="F37" i="80" s="1"/>
  <c r="B38" i="78"/>
  <c r="C37" i="78"/>
  <c r="D37" i="78" s="1"/>
  <c r="E37" i="78"/>
  <c r="F37" i="78" s="1"/>
  <c r="B38" i="77"/>
  <c r="C37" i="77"/>
  <c r="D37" i="77" s="1"/>
  <c r="E37" i="77"/>
  <c r="F37" i="77" s="1"/>
  <c r="B37" i="76"/>
  <c r="C36" i="76"/>
  <c r="D36" i="76" s="1"/>
  <c r="E36" i="76"/>
  <c r="F36" i="76" s="1"/>
  <c r="E38" i="75"/>
  <c r="F38" i="75" s="1"/>
  <c r="B39" i="75"/>
  <c r="C38" i="75"/>
  <c r="D38" i="75" s="1"/>
  <c r="B37" i="74"/>
  <c r="C36" i="74"/>
  <c r="D36" i="74" s="1"/>
  <c r="E36" i="74"/>
  <c r="F36" i="74" s="1"/>
  <c r="L22" i="69"/>
  <c r="M21" i="69"/>
  <c r="N21" i="69" s="1"/>
  <c r="C38" i="80" l="1"/>
  <c r="D38" i="80" s="1"/>
  <c r="E38" i="80"/>
  <c r="F38" i="80" s="1"/>
  <c r="B39" i="80"/>
  <c r="E38" i="78"/>
  <c r="F38" i="78" s="1"/>
  <c r="C38" i="78"/>
  <c r="D38" i="78" s="1"/>
  <c r="E38" i="77"/>
  <c r="F38" i="77" s="1"/>
  <c r="C38" i="77"/>
  <c r="D38" i="77" s="1"/>
  <c r="B39" i="77"/>
  <c r="B38" i="76"/>
  <c r="C37" i="76"/>
  <c r="D37" i="76" s="1"/>
  <c r="E37" i="76"/>
  <c r="F37" i="76" s="1"/>
  <c r="E39" i="75"/>
  <c r="F39" i="75" s="1"/>
  <c r="B40" i="75"/>
  <c r="C39" i="75"/>
  <c r="D39" i="75" s="1"/>
  <c r="B38" i="74"/>
  <c r="C37" i="74"/>
  <c r="D37" i="74" s="1"/>
  <c r="E37" i="74"/>
  <c r="F37" i="74" s="1"/>
  <c r="O21" i="69"/>
  <c r="M22" i="69"/>
  <c r="N22" i="69" s="1"/>
  <c r="L23" i="69"/>
  <c r="E39" i="80" l="1"/>
  <c r="F39" i="80" s="1"/>
  <c r="B40" i="80"/>
  <c r="C39" i="80"/>
  <c r="D39" i="80" s="1"/>
  <c r="E39" i="78"/>
  <c r="F39" i="78" s="1"/>
  <c r="C39" i="78"/>
  <c r="D39" i="78" s="1"/>
  <c r="E39" i="77"/>
  <c r="F39" i="77" s="1"/>
  <c r="B40" i="77"/>
  <c r="C39" i="77"/>
  <c r="D39" i="77" s="1"/>
  <c r="E38" i="76"/>
  <c r="F38" i="76" s="1"/>
  <c r="B39" i="76"/>
  <c r="C38" i="76"/>
  <c r="D38" i="76" s="1"/>
  <c r="B41" i="75"/>
  <c r="C40" i="75"/>
  <c r="D40" i="75" s="1"/>
  <c r="E40" i="75"/>
  <c r="F40" i="75" s="1"/>
  <c r="E38" i="74"/>
  <c r="F38" i="74" s="1"/>
  <c r="B39" i="74"/>
  <c r="C38" i="74"/>
  <c r="D38" i="74" s="1"/>
  <c r="P22" i="69"/>
  <c r="O22" i="69"/>
  <c r="M23" i="69"/>
  <c r="N23" i="69" s="1"/>
  <c r="P21" i="69"/>
  <c r="L24" i="69"/>
  <c r="E25" i="69"/>
  <c r="B41" i="80" l="1"/>
  <c r="C40" i="80"/>
  <c r="D40" i="80" s="1"/>
  <c r="E40" i="80"/>
  <c r="F40" i="80" s="1"/>
  <c r="C40" i="78"/>
  <c r="D40" i="78" s="1"/>
  <c r="E40" i="78"/>
  <c r="F40" i="78" s="1"/>
  <c r="B41" i="77"/>
  <c r="C40" i="77"/>
  <c r="D40" i="77" s="1"/>
  <c r="E40" i="77"/>
  <c r="F40" i="77" s="1"/>
  <c r="E39" i="76"/>
  <c r="F39" i="76" s="1"/>
  <c r="C39" i="76"/>
  <c r="D39" i="76" s="1"/>
  <c r="B40" i="76"/>
  <c r="B42" i="75"/>
  <c r="C41" i="75"/>
  <c r="D41" i="75" s="1"/>
  <c r="E41" i="75"/>
  <c r="F41" i="75" s="1"/>
  <c r="E39" i="74"/>
  <c r="F39" i="74" s="1"/>
  <c r="C39" i="74"/>
  <c r="D39" i="74" s="1"/>
  <c r="B40" i="74"/>
  <c r="M24" i="69"/>
  <c r="O23" i="69"/>
  <c r="O24" i="69" l="1"/>
  <c r="N24" i="69"/>
  <c r="P24" i="69" s="1"/>
  <c r="B42" i="80"/>
  <c r="C41" i="80"/>
  <c r="D41" i="80" s="1"/>
  <c r="E41" i="80"/>
  <c r="F41" i="80" s="1"/>
  <c r="C41" i="78"/>
  <c r="D41" i="78" s="1"/>
  <c r="E41" i="78"/>
  <c r="F41" i="78" s="1"/>
  <c r="B42" i="77"/>
  <c r="C41" i="77"/>
  <c r="D41" i="77" s="1"/>
  <c r="E41" i="77"/>
  <c r="F41" i="77" s="1"/>
  <c r="B41" i="76"/>
  <c r="C40" i="76"/>
  <c r="D40" i="76" s="1"/>
  <c r="E40" i="76"/>
  <c r="F40" i="76" s="1"/>
  <c r="B43" i="75"/>
  <c r="C42" i="75"/>
  <c r="D42" i="75" s="1"/>
  <c r="E42" i="75"/>
  <c r="F42" i="75" s="1"/>
  <c r="B41" i="74"/>
  <c r="C40" i="74"/>
  <c r="D40" i="74" s="1"/>
  <c r="E40" i="74"/>
  <c r="F40" i="74" s="1"/>
  <c r="P23" i="69"/>
  <c r="O25" i="69"/>
  <c r="N25" i="69" l="1"/>
  <c r="P25" i="69"/>
  <c r="B43" i="80"/>
  <c r="E42" i="80"/>
  <c r="F42" i="80" s="1"/>
  <c r="C42" i="80"/>
  <c r="D42" i="80" s="1"/>
  <c r="E42" i="78"/>
  <c r="F42" i="78" s="1"/>
  <c r="C42" i="78"/>
  <c r="D42" i="78" s="1"/>
  <c r="E42" i="77"/>
  <c r="F42" i="77" s="1"/>
  <c r="B43" i="77"/>
  <c r="C42" i="77"/>
  <c r="D42" i="77" s="1"/>
  <c r="B42" i="76"/>
  <c r="C41" i="76"/>
  <c r="D41" i="76" s="1"/>
  <c r="E41" i="76"/>
  <c r="F41" i="76" s="1"/>
  <c r="E43" i="75"/>
  <c r="F43" i="75" s="1"/>
  <c r="B44" i="75"/>
  <c r="C43" i="75"/>
  <c r="D43" i="75" s="1"/>
  <c r="B42" i="74"/>
  <c r="C41" i="74"/>
  <c r="D41" i="74" s="1"/>
  <c r="E41" i="74"/>
  <c r="F41" i="74" s="1"/>
  <c r="I11" i="66"/>
  <c r="I27" i="66" s="1"/>
  <c r="D7" i="66" l="1"/>
  <c r="E43" i="80"/>
  <c r="F43" i="80" s="1"/>
  <c r="B44" i="80"/>
  <c r="C43" i="80"/>
  <c r="D43" i="80" s="1"/>
  <c r="E43" i="78"/>
  <c r="F43" i="78" s="1"/>
  <c r="C43" i="78"/>
  <c r="D43" i="78" s="1"/>
  <c r="E43" i="77"/>
  <c r="F43" i="77" s="1"/>
  <c r="B44" i="77"/>
  <c r="C43" i="77"/>
  <c r="D43" i="77" s="1"/>
  <c r="E42" i="76"/>
  <c r="F42" i="76" s="1"/>
  <c r="C42" i="76"/>
  <c r="D42" i="76" s="1"/>
  <c r="B43" i="76"/>
  <c r="C44" i="75"/>
  <c r="D44" i="75" s="1"/>
  <c r="D45" i="75" s="1"/>
  <c r="J51" i="75" s="1"/>
  <c r="D22" i="12" s="1"/>
  <c r="E44" i="75"/>
  <c r="F44" i="75" s="1"/>
  <c r="F45" i="75" s="1"/>
  <c r="E42" i="74"/>
  <c r="F42" i="74" s="1"/>
  <c r="B43" i="74"/>
  <c r="C42" i="74"/>
  <c r="D42" i="74" s="1"/>
  <c r="Z3" i="59"/>
  <c r="E44" i="80" l="1"/>
  <c r="F44" i="80" s="1"/>
  <c r="F45" i="80" s="1"/>
  <c r="C44" i="80"/>
  <c r="D44" i="80" s="1"/>
  <c r="D45" i="80" s="1"/>
  <c r="J51" i="80" s="1"/>
  <c r="D47" i="12" s="1"/>
  <c r="C44" i="78"/>
  <c r="D44" i="78" s="1"/>
  <c r="D45" i="78" s="1"/>
  <c r="J51" i="78" s="1"/>
  <c r="E44" i="78"/>
  <c r="F44" i="78" s="1"/>
  <c r="F45" i="78" s="1"/>
  <c r="C44" i="77"/>
  <c r="D44" i="77" s="1"/>
  <c r="D45" i="77" s="1"/>
  <c r="J51" i="77" s="1"/>
  <c r="D32" i="12" s="1"/>
  <c r="E44" i="77"/>
  <c r="F44" i="77" s="1"/>
  <c r="F45" i="77" s="1"/>
  <c r="E43" i="76"/>
  <c r="F43" i="76" s="1"/>
  <c r="B44" i="76"/>
  <c r="C43" i="76"/>
  <c r="D43" i="76" s="1"/>
  <c r="E43" i="74"/>
  <c r="F43" i="74" s="1"/>
  <c r="B44" i="74"/>
  <c r="C43" i="74"/>
  <c r="D43" i="74" s="1"/>
  <c r="C18" i="68"/>
  <c r="D18" i="68" s="1"/>
  <c r="E18" i="68" s="1"/>
  <c r="C8" i="68"/>
  <c r="D8" i="68" s="1"/>
  <c r="E8" i="68" s="1"/>
  <c r="C9" i="68"/>
  <c r="D9" i="68" s="1"/>
  <c r="E9" i="68" s="1"/>
  <c r="C5" i="68"/>
  <c r="D5" i="68" s="1"/>
  <c r="E5" i="68" s="1"/>
  <c r="C22" i="68"/>
  <c r="D22" i="68" s="1"/>
  <c r="E22" i="68" s="1"/>
  <c r="C19" i="68"/>
  <c r="D19" i="68" s="1"/>
  <c r="E19" i="68" s="1"/>
  <c r="C6" i="68"/>
  <c r="D6" i="68" s="1"/>
  <c r="E6" i="68" s="1"/>
  <c r="C24" i="68"/>
  <c r="D24" i="68" s="1"/>
  <c r="E24" i="68" s="1"/>
  <c r="C21" i="68"/>
  <c r="D21" i="68" s="1"/>
  <c r="E21" i="68" s="1"/>
  <c r="C15" i="68"/>
  <c r="D15" i="68" s="1"/>
  <c r="E15" i="68" s="1"/>
  <c r="C12" i="68"/>
  <c r="D12" i="68" s="1"/>
  <c r="E12" i="68" s="1"/>
  <c r="C13" i="68"/>
  <c r="D13" i="68" s="1"/>
  <c r="E13" i="68" s="1"/>
  <c r="C10" i="68"/>
  <c r="D10" i="68" s="1"/>
  <c r="E10" i="68" s="1"/>
  <c r="C7" i="68"/>
  <c r="D7" i="68" s="1"/>
  <c r="E7" i="68" s="1"/>
  <c r="C23" i="68"/>
  <c r="D23" i="68" s="1"/>
  <c r="E23" i="68" s="1"/>
  <c r="C16" i="68"/>
  <c r="D16" i="68" s="1"/>
  <c r="E16" i="68" s="1"/>
  <c r="C20" i="68"/>
  <c r="D20" i="68" s="1"/>
  <c r="E20" i="68" s="1"/>
  <c r="C17" i="68"/>
  <c r="D17" i="68" s="1"/>
  <c r="E17" i="68" s="1"/>
  <c r="C14" i="68"/>
  <c r="D14" i="68" s="1"/>
  <c r="E14" i="68" s="1"/>
  <c r="C11" i="68"/>
  <c r="D11" i="68" s="1"/>
  <c r="E11" i="68" s="1"/>
  <c r="AF12" i="59"/>
  <c r="AF13" i="59" s="1"/>
  <c r="AC13" i="59" s="1"/>
  <c r="AH12" i="59"/>
  <c r="AH13" i="59" s="1"/>
  <c r="AF14" i="59"/>
  <c r="AF15" i="59" s="1"/>
  <c r="AC15" i="59" s="1"/>
  <c r="AH14" i="59"/>
  <c r="AH15" i="59" s="1"/>
  <c r="AF18" i="59"/>
  <c r="AF19" i="59" s="1"/>
  <c r="AC19" i="59" s="1"/>
  <c r="AH18" i="59"/>
  <c r="AH19" i="59" s="1"/>
  <c r="AF20" i="59"/>
  <c r="AF21" i="59" s="1"/>
  <c r="AC21" i="59" s="1"/>
  <c r="AH20" i="59"/>
  <c r="AH21" i="59" s="1"/>
  <c r="AF27" i="59"/>
  <c r="AF28" i="59" s="1"/>
  <c r="AC28" i="59" s="1"/>
  <c r="AH27" i="59"/>
  <c r="AH28" i="59" s="1"/>
  <c r="AF29" i="59"/>
  <c r="AF30" i="59" s="1"/>
  <c r="AC30" i="59" s="1"/>
  <c r="AH29" i="59"/>
  <c r="AH30" i="59" s="1"/>
  <c r="AF33" i="59"/>
  <c r="AF34" i="59" s="1"/>
  <c r="AC34" i="59" s="1"/>
  <c r="AH33" i="59"/>
  <c r="AH34" i="59" s="1"/>
  <c r="AF35" i="59"/>
  <c r="AF36" i="59" s="1"/>
  <c r="AC36" i="59" s="1"/>
  <c r="AH35" i="59"/>
  <c r="AH36" i="59" s="1"/>
  <c r="J50" i="77" l="1"/>
  <c r="C32" i="12" s="1"/>
  <c r="I32" i="12" s="1"/>
  <c r="K32" i="12" s="1"/>
  <c r="C44" i="76"/>
  <c r="D44" i="76" s="1"/>
  <c r="D45" i="76" s="1"/>
  <c r="J51" i="76" s="1"/>
  <c r="D27" i="12" s="1"/>
  <c r="E44" i="76"/>
  <c r="F44" i="76" s="1"/>
  <c r="F45" i="76" s="1"/>
  <c r="C44" i="74"/>
  <c r="D44" i="74" s="1"/>
  <c r="D45" i="74" s="1"/>
  <c r="E44" i="74"/>
  <c r="F44" i="74" s="1"/>
  <c r="F45" i="74" s="1"/>
  <c r="AC35" i="59"/>
  <c r="AC33" i="59"/>
  <c r="AE33" i="59" s="1"/>
  <c r="AD33" i="59" s="1"/>
  <c r="AB33" i="59" s="1"/>
  <c r="AC29" i="59"/>
  <c r="AE29" i="59" s="1"/>
  <c r="AD29" i="59" s="1"/>
  <c r="AB29" i="59" s="1"/>
  <c r="AC27" i="59"/>
  <c r="AE27" i="59" s="1"/>
  <c r="AD27" i="59" s="1"/>
  <c r="AB27" i="59" s="1"/>
  <c r="AC20" i="59"/>
  <c r="AC18" i="59"/>
  <c r="AE18" i="59" s="1"/>
  <c r="AD18" i="59" s="1"/>
  <c r="AB18" i="59" s="1"/>
  <c r="AC14" i="59"/>
  <c r="AE14" i="59" s="1"/>
  <c r="AD14" i="59" s="1"/>
  <c r="AB14" i="59" s="1"/>
  <c r="AC12" i="59"/>
  <c r="AE12" i="59" s="1"/>
  <c r="AD12" i="59" s="1"/>
  <c r="AB12" i="59" s="1"/>
  <c r="AE36" i="59"/>
  <c r="AD36" i="59" s="1"/>
  <c r="AB36" i="59" s="1"/>
  <c r="AE30" i="59"/>
  <c r="AD30" i="59" s="1"/>
  <c r="AB30" i="59" s="1"/>
  <c r="AE19" i="59"/>
  <c r="AD19" i="59" s="1"/>
  <c r="AB19" i="59" s="1"/>
  <c r="AE28" i="59"/>
  <c r="AD28" i="59" s="1"/>
  <c r="AB28" i="59" s="1"/>
  <c r="AE15" i="59"/>
  <c r="AD15" i="59" s="1"/>
  <c r="AB15" i="59" s="1"/>
  <c r="AE34" i="59"/>
  <c r="AD34" i="59" s="1"/>
  <c r="AB34" i="59" s="1"/>
  <c r="AE21" i="59"/>
  <c r="AD21" i="59" s="1"/>
  <c r="AB21" i="59" s="1"/>
  <c r="AE13" i="59"/>
  <c r="AD13" i="59" s="1"/>
  <c r="AB13" i="59" s="1"/>
  <c r="AE35" i="59"/>
  <c r="AD35" i="59" s="1"/>
  <c r="AB35" i="59" s="1"/>
  <c r="AE20" i="59"/>
  <c r="AD20" i="59" s="1"/>
  <c r="AB20" i="59" s="1"/>
  <c r="E25" i="68" l="1"/>
  <c r="J52" i="77"/>
  <c r="F32" i="12"/>
  <c r="L32" i="12" s="1"/>
  <c r="E32" i="12"/>
  <c r="J53" i="77"/>
  <c r="J51" i="74"/>
  <c r="D37" i="12" s="1"/>
  <c r="D42" i="12"/>
  <c r="N48" i="59"/>
  <c r="N49" i="59"/>
  <c r="O48" i="59"/>
  <c r="O49" i="59"/>
  <c r="N39" i="59"/>
  <c r="M11" i="58"/>
  <c r="L21" i="57"/>
  <c r="O42" i="59" l="1"/>
  <c r="N41" i="59" l="1"/>
  <c r="N38" i="59"/>
  <c r="N32" i="59"/>
  <c r="N17" i="59" l="1"/>
  <c r="J18" i="58" l="1"/>
  <c r="J19" i="58"/>
  <c r="J20" i="58"/>
  <c r="L22" i="57" l="1"/>
  <c r="J26" i="60"/>
  <c r="I10" i="60"/>
  <c r="B7" i="60"/>
  <c r="I10" i="58"/>
  <c r="B7" i="58"/>
  <c r="C7" i="58" s="1"/>
  <c r="D7" i="58" s="1"/>
  <c r="C1" i="58"/>
  <c r="D1" i="58" s="1"/>
  <c r="E1" i="58" s="1"/>
  <c r="F1" i="58" s="1"/>
  <c r="H1" i="57"/>
  <c r="I1" i="57" s="1"/>
  <c r="C7" i="73" l="1"/>
  <c r="I11" i="60"/>
  <c r="B7" i="59"/>
  <c r="I11" i="58"/>
  <c r="E7" i="58" s="1"/>
  <c r="F7" i="58" s="1"/>
  <c r="B7" i="57"/>
  <c r="J19" i="60"/>
  <c r="J27" i="60"/>
  <c r="B8" i="60"/>
  <c r="C7" i="60"/>
  <c r="D7" i="60" s="1"/>
  <c r="J29" i="58"/>
  <c r="J28" i="58"/>
  <c r="B8" i="58"/>
  <c r="J30" i="58"/>
  <c r="I7" i="59" l="1"/>
  <c r="B8" i="57"/>
  <c r="D8" i="57" s="1"/>
  <c r="D7" i="57"/>
  <c r="B8" i="66"/>
  <c r="B8" i="67"/>
  <c r="C7" i="67"/>
  <c r="D7" i="67" s="1"/>
  <c r="E7" i="67" s="1"/>
  <c r="D7" i="72"/>
  <c r="E7" i="72" s="1"/>
  <c r="B8" i="72"/>
  <c r="B8" i="65"/>
  <c r="E7" i="65"/>
  <c r="C7" i="65"/>
  <c r="B8" i="73"/>
  <c r="C8" i="73" s="1"/>
  <c r="D7" i="73"/>
  <c r="E7" i="73" s="1"/>
  <c r="E8" i="58"/>
  <c r="F8" i="58" s="1"/>
  <c r="E8" i="57"/>
  <c r="F7" i="57"/>
  <c r="E7" i="57"/>
  <c r="H7" i="59"/>
  <c r="G7" i="59"/>
  <c r="E7" i="60"/>
  <c r="F7" i="60" s="1"/>
  <c r="D7" i="59"/>
  <c r="C7" i="59"/>
  <c r="F7" i="59"/>
  <c r="B8" i="59"/>
  <c r="I8" i="59" s="1"/>
  <c r="E7" i="59"/>
  <c r="G7" i="57"/>
  <c r="F8" i="57"/>
  <c r="B9" i="57"/>
  <c r="G8" i="57"/>
  <c r="C8" i="57"/>
  <c r="C7" i="57"/>
  <c r="C8" i="60"/>
  <c r="D8" i="60" s="1"/>
  <c r="B9" i="60"/>
  <c r="E8" i="60"/>
  <c r="F8" i="60" s="1"/>
  <c r="C8" i="58"/>
  <c r="D8" i="58" s="1"/>
  <c r="B9" i="58"/>
  <c r="B10" i="58" s="1"/>
  <c r="J31" i="58"/>
  <c r="C8" i="66" l="1"/>
  <c r="D8" i="66"/>
  <c r="G9" i="57"/>
  <c r="D9" i="57"/>
  <c r="E7" i="66"/>
  <c r="F7" i="66" s="1"/>
  <c r="H7" i="57"/>
  <c r="I7" i="57" s="1"/>
  <c r="D7" i="65"/>
  <c r="F7" i="65" s="1"/>
  <c r="G7" i="65" s="1"/>
  <c r="E8" i="65"/>
  <c r="C8" i="65"/>
  <c r="B9" i="65"/>
  <c r="B9" i="67"/>
  <c r="C8" i="67"/>
  <c r="J7" i="59"/>
  <c r="B9" i="73"/>
  <c r="C9" i="73" s="1"/>
  <c r="C8" i="72"/>
  <c r="D8" i="72" s="1"/>
  <c r="E8" i="72" s="1"/>
  <c r="B9" i="72"/>
  <c r="B9" i="66"/>
  <c r="H8" i="57"/>
  <c r="I8" i="57" s="1"/>
  <c r="B10" i="57"/>
  <c r="D10" i="57" s="1"/>
  <c r="K7" i="59"/>
  <c r="G8" i="59"/>
  <c r="E8" i="59"/>
  <c r="C8" i="59"/>
  <c r="H8" i="59"/>
  <c r="F8" i="59"/>
  <c r="D8" i="59"/>
  <c r="B9" i="59"/>
  <c r="I9" i="59" s="1"/>
  <c r="F9" i="57"/>
  <c r="E9" i="57"/>
  <c r="C9" i="57"/>
  <c r="G10" i="57"/>
  <c r="F10" i="57"/>
  <c r="B11" i="57"/>
  <c r="D11" i="57" s="1"/>
  <c r="C10" i="57"/>
  <c r="E10" i="57"/>
  <c r="E9" i="60"/>
  <c r="F9" i="60" s="1"/>
  <c r="C9" i="60"/>
  <c r="D9" i="60" s="1"/>
  <c r="B10" i="60"/>
  <c r="C9" i="58"/>
  <c r="D9" i="58" s="1"/>
  <c r="E9" i="58"/>
  <c r="F9" i="58" s="1"/>
  <c r="B11" i="58"/>
  <c r="C10" i="58"/>
  <c r="D10" i="58" s="1"/>
  <c r="E10" i="58"/>
  <c r="F10" i="58" s="1"/>
  <c r="C9" i="66" l="1"/>
  <c r="D9" i="66"/>
  <c r="D8" i="67"/>
  <c r="E8" i="67" s="1"/>
  <c r="D8" i="65"/>
  <c r="F8" i="65" s="1"/>
  <c r="G8" i="65" s="1"/>
  <c r="J8" i="59"/>
  <c r="K8" i="59" s="1"/>
  <c r="B10" i="73"/>
  <c r="C10" i="73" s="1"/>
  <c r="B10" i="67"/>
  <c r="C9" i="67"/>
  <c r="D8" i="73"/>
  <c r="E8" i="73" s="1"/>
  <c r="B10" i="66"/>
  <c r="E8" i="66"/>
  <c r="F8" i="66" s="1"/>
  <c r="B10" i="72"/>
  <c r="C9" i="72"/>
  <c r="D9" i="72" s="1"/>
  <c r="E9" i="72" s="1"/>
  <c r="C9" i="65"/>
  <c r="E9" i="65"/>
  <c r="B10" i="65"/>
  <c r="H9" i="57"/>
  <c r="I9" i="57" s="1"/>
  <c r="F9" i="59"/>
  <c r="G9" i="59"/>
  <c r="H9" i="59"/>
  <c r="C9" i="59"/>
  <c r="E9" i="59"/>
  <c r="B10" i="59"/>
  <c r="I10" i="59" s="1"/>
  <c r="D9" i="59"/>
  <c r="F11" i="57"/>
  <c r="G11" i="57"/>
  <c r="H10" i="57"/>
  <c r="I10" i="57" s="1"/>
  <c r="E11" i="57"/>
  <c r="C11" i="57"/>
  <c r="B12" i="57"/>
  <c r="D12" i="57" s="1"/>
  <c r="B11" i="60"/>
  <c r="E10" i="60"/>
  <c r="F10" i="60" s="1"/>
  <c r="C10" i="60"/>
  <c r="D10" i="60" s="1"/>
  <c r="E11" i="58"/>
  <c r="F11" i="58" s="1"/>
  <c r="C11" i="58"/>
  <c r="D11" i="58" s="1"/>
  <c r="B12" i="58"/>
  <c r="C10" i="66" l="1"/>
  <c r="D10" i="66"/>
  <c r="E9" i="66"/>
  <c r="F9" i="66" s="1"/>
  <c r="C10" i="72"/>
  <c r="D10" i="72" s="1"/>
  <c r="E10" i="72" s="1"/>
  <c r="B11" i="72"/>
  <c r="B11" i="66"/>
  <c r="B11" i="67"/>
  <c r="C10" i="67"/>
  <c r="D9" i="65"/>
  <c r="F9" i="65" s="1"/>
  <c r="G9" i="65" s="1"/>
  <c r="B11" i="73"/>
  <c r="C11" i="73" s="1"/>
  <c r="C10" i="65"/>
  <c r="E10" i="65"/>
  <c r="B11" i="65"/>
  <c r="D9" i="67"/>
  <c r="E9" i="67" s="1"/>
  <c r="D9" i="73"/>
  <c r="E9" i="73" s="1"/>
  <c r="J9" i="59"/>
  <c r="K9" i="59" s="1"/>
  <c r="F10" i="59"/>
  <c r="C10" i="59"/>
  <c r="D10" i="59"/>
  <c r="B11" i="59"/>
  <c r="I11" i="59" s="1"/>
  <c r="E10" i="59"/>
  <c r="G10" i="59"/>
  <c r="H10" i="59"/>
  <c r="G12" i="57"/>
  <c r="F12" i="57"/>
  <c r="H11" i="57"/>
  <c r="I11" i="57" s="1"/>
  <c r="E12" i="57"/>
  <c r="C12" i="57"/>
  <c r="B13" i="57"/>
  <c r="D13" i="57" s="1"/>
  <c r="C11" i="60"/>
  <c r="D11" i="60" s="1"/>
  <c r="B12" i="60"/>
  <c r="E11" i="60"/>
  <c r="F11" i="60" s="1"/>
  <c r="E12" i="58"/>
  <c r="F12" i="58" s="1"/>
  <c r="B13" i="58"/>
  <c r="C12" i="58"/>
  <c r="D12" i="58" s="1"/>
  <c r="C11" i="66" l="1"/>
  <c r="D11" i="66"/>
  <c r="D10" i="67"/>
  <c r="E10" i="67" s="1"/>
  <c r="B12" i="73"/>
  <c r="C12" i="73" s="1"/>
  <c r="C11" i="65"/>
  <c r="E11" i="65"/>
  <c r="B12" i="65"/>
  <c r="D10" i="73"/>
  <c r="E10" i="73" s="1"/>
  <c r="E10" i="66"/>
  <c r="F10" i="66" s="1"/>
  <c r="B12" i="67"/>
  <c r="C11" i="67"/>
  <c r="B12" i="66"/>
  <c r="J10" i="59"/>
  <c r="K10" i="59" s="1"/>
  <c r="D10" i="65"/>
  <c r="F10" i="65" s="1"/>
  <c r="G10" i="65" s="1"/>
  <c r="C11" i="72"/>
  <c r="D11" i="72" s="1"/>
  <c r="E11" i="72" s="1"/>
  <c r="B12" i="72"/>
  <c r="F11" i="59"/>
  <c r="C11" i="59"/>
  <c r="D11" i="59"/>
  <c r="G11" i="59"/>
  <c r="H11" i="59"/>
  <c r="B12" i="59"/>
  <c r="I12" i="59" s="1"/>
  <c r="E11" i="59"/>
  <c r="H12" i="57"/>
  <c r="I12" i="57" s="1"/>
  <c r="F13" i="57"/>
  <c r="G13" i="57"/>
  <c r="E13" i="57"/>
  <c r="C13" i="57"/>
  <c r="B14" i="57"/>
  <c r="D14" i="57" s="1"/>
  <c r="C12" i="60"/>
  <c r="D12" i="60" s="1"/>
  <c r="B13" i="60"/>
  <c r="E12" i="60"/>
  <c r="F12" i="60" s="1"/>
  <c r="C13" i="58"/>
  <c r="D13" i="58" s="1"/>
  <c r="B14" i="58"/>
  <c r="E13" i="58"/>
  <c r="F13" i="58" s="1"/>
  <c r="C12" i="66" l="1"/>
  <c r="D12" i="66"/>
  <c r="E11" i="66"/>
  <c r="F11" i="66" s="1"/>
  <c r="C12" i="72"/>
  <c r="D12" i="72" s="1"/>
  <c r="E12" i="72" s="1"/>
  <c r="B13" i="72"/>
  <c r="B13" i="66"/>
  <c r="D11" i="67"/>
  <c r="E11" i="67" s="1"/>
  <c r="D11" i="65"/>
  <c r="F11" i="65" s="1"/>
  <c r="G11" i="65" s="1"/>
  <c r="D11" i="73"/>
  <c r="E11" i="73" s="1"/>
  <c r="B13" i="67"/>
  <c r="C12" i="67"/>
  <c r="D12" i="67" s="1"/>
  <c r="E12" i="67" s="1"/>
  <c r="C12" i="65"/>
  <c r="E12" i="65"/>
  <c r="B13" i="65"/>
  <c r="B13" i="73"/>
  <c r="C13" i="73" s="1"/>
  <c r="J11" i="59"/>
  <c r="K11" i="59" s="1"/>
  <c r="F12" i="59"/>
  <c r="G12" i="59"/>
  <c r="B13" i="59"/>
  <c r="I13" i="59" s="1"/>
  <c r="H12" i="59"/>
  <c r="E12" i="59"/>
  <c r="D12" i="59"/>
  <c r="C12" i="59"/>
  <c r="G14" i="57"/>
  <c r="F14" i="57"/>
  <c r="H13" i="57"/>
  <c r="I13" i="57" s="1"/>
  <c r="E14" i="57"/>
  <c r="C14" i="57"/>
  <c r="B15" i="57"/>
  <c r="D15" i="57" s="1"/>
  <c r="B14" i="60"/>
  <c r="C13" i="60"/>
  <c r="D13" i="60" s="1"/>
  <c r="E13" i="60"/>
  <c r="F13" i="60" s="1"/>
  <c r="E14" i="58"/>
  <c r="F14" i="58" s="1"/>
  <c r="C14" i="58"/>
  <c r="D14" i="58" s="1"/>
  <c r="B15" i="58"/>
  <c r="C13" i="66" l="1"/>
  <c r="D13" i="66"/>
  <c r="J12" i="59"/>
  <c r="K12" i="59" s="1"/>
  <c r="B14" i="73"/>
  <c r="C14" i="73" s="1"/>
  <c r="B14" i="67"/>
  <c r="C13" i="67"/>
  <c r="D12" i="73"/>
  <c r="E12" i="73" s="1"/>
  <c r="D12" i="65"/>
  <c r="F12" i="65" s="1"/>
  <c r="G12" i="65" s="1"/>
  <c r="B14" i="66"/>
  <c r="E12" i="66"/>
  <c r="F12" i="66" s="1"/>
  <c r="C13" i="72"/>
  <c r="D13" i="72" s="1"/>
  <c r="E13" i="72" s="1"/>
  <c r="B14" i="72"/>
  <c r="C13" i="65"/>
  <c r="E13" i="65"/>
  <c r="B14" i="65"/>
  <c r="F13" i="59"/>
  <c r="G13" i="59"/>
  <c r="H13" i="59"/>
  <c r="C13" i="59"/>
  <c r="B14" i="59"/>
  <c r="I14" i="59" s="1"/>
  <c r="E13" i="59"/>
  <c r="D13" i="59"/>
  <c r="G15" i="57"/>
  <c r="F15" i="57"/>
  <c r="H14" i="57"/>
  <c r="I14" i="57" s="1"/>
  <c r="E15" i="57"/>
  <c r="C15" i="57"/>
  <c r="B16" i="57"/>
  <c r="D16" i="57" s="1"/>
  <c r="E14" i="60"/>
  <c r="F14" i="60" s="1"/>
  <c r="B15" i="60"/>
  <c r="C14" i="60"/>
  <c r="D14" i="60" s="1"/>
  <c r="E15" i="58"/>
  <c r="F15" i="58" s="1"/>
  <c r="C15" i="58"/>
  <c r="D15" i="58" s="1"/>
  <c r="B16" i="58"/>
  <c r="C14" i="66" l="1"/>
  <c r="D14" i="66"/>
  <c r="C14" i="72"/>
  <c r="D14" i="72" s="1"/>
  <c r="E14" i="72" s="1"/>
  <c r="B15" i="72"/>
  <c r="C14" i="65"/>
  <c r="E14" i="65"/>
  <c r="B15" i="65"/>
  <c r="B15" i="67"/>
  <c r="C14" i="67"/>
  <c r="B15" i="66"/>
  <c r="B15" i="73"/>
  <c r="C15" i="73" s="1"/>
  <c r="D13" i="65"/>
  <c r="F13" i="65" s="1"/>
  <c r="G13" i="65" s="1"/>
  <c r="E13" i="66"/>
  <c r="F13" i="66" s="1"/>
  <c r="D13" i="67"/>
  <c r="E13" i="67" s="1"/>
  <c r="D13" i="73"/>
  <c r="E13" i="73" s="1"/>
  <c r="J13" i="59"/>
  <c r="K13" i="59" s="1"/>
  <c r="F14" i="59"/>
  <c r="G14" i="59"/>
  <c r="H14" i="59"/>
  <c r="B15" i="59"/>
  <c r="I15" i="59" s="1"/>
  <c r="D14" i="59"/>
  <c r="E14" i="59"/>
  <c r="C14" i="59"/>
  <c r="G16" i="57"/>
  <c r="F16" i="57"/>
  <c r="H15" i="57"/>
  <c r="I15" i="57" s="1"/>
  <c r="C16" i="57"/>
  <c r="E16" i="57"/>
  <c r="B17" i="57"/>
  <c r="D17" i="57" s="1"/>
  <c r="E15" i="60"/>
  <c r="F15" i="60" s="1"/>
  <c r="C15" i="60"/>
  <c r="D15" i="60" s="1"/>
  <c r="B16" i="60"/>
  <c r="B17" i="58"/>
  <c r="C16" i="58"/>
  <c r="D16" i="58" s="1"/>
  <c r="E16" i="58"/>
  <c r="F16" i="58" s="1"/>
  <c r="C15" i="66" l="1"/>
  <c r="D15" i="66"/>
  <c r="D14" i="67"/>
  <c r="E14" i="67" s="1"/>
  <c r="B16" i="66"/>
  <c r="D14" i="65"/>
  <c r="F14" i="65" s="1"/>
  <c r="G14" i="65" s="1"/>
  <c r="D14" i="73"/>
  <c r="E14" i="73" s="1"/>
  <c r="B16" i="67"/>
  <c r="C15" i="67"/>
  <c r="C15" i="72"/>
  <c r="D15" i="72" s="1"/>
  <c r="E15" i="72" s="1"/>
  <c r="B16" i="72"/>
  <c r="B16" i="73"/>
  <c r="C16" i="73" s="1"/>
  <c r="E14" i="66"/>
  <c r="F14" i="66" s="1"/>
  <c r="C15" i="65"/>
  <c r="E15" i="65"/>
  <c r="B16" i="65"/>
  <c r="J14" i="59"/>
  <c r="K14" i="59" s="1"/>
  <c r="F15" i="59"/>
  <c r="G15" i="59"/>
  <c r="H15" i="59"/>
  <c r="B16" i="59"/>
  <c r="I16" i="59" s="1"/>
  <c r="C15" i="59"/>
  <c r="D15" i="59"/>
  <c r="E15" i="59"/>
  <c r="H16" i="57"/>
  <c r="I16" i="57" s="1"/>
  <c r="F17" i="57"/>
  <c r="G17" i="57"/>
  <c r="C17" i="57"/>
  <c r="E17" i="57"/>
  <c r="B18" i="57"/>
  <c r="D18" i="57" s="1"/>
  <c r="C16" i="60"/>
  <c r="D16" i="60" s="1"/>
  <c r="B17" i="60"/>
  <c r="E16" i="60"/>
  <c r="F16" i="60" s="1"/>
  <c r="C17" i="58"/>
  <c r="D17" i="58" s="1"/>
  <c r="B18" i="58"/>
  <c r="E17" i="58"/>
  <c r="F17" i="58" s="1"/>
  <c r="C16" i="66" l="1"/>
  <c r="D16" i="66"/>
  <c r="E15" i="66"/>
  <c r="F15" i="66" s="1"/>
  <c r="D15" i="67"/>
  <c r="E15" i="67" s="1"/>
  <c r="D15" i="73"/>
  <c r="E15" i="73" s="1"/>
  <c r="C16" i="65"/>
  <c r="E16" i="65"/>
  <c r="B17" i="65"/>
  <c r="B17" i="73"/>
  <c r="C17" i="73" s="1"/>
  <c r="D15" i="65"/>
  <c r="F15" i="65" s="1"/>
  <c r="G15" i="65" s="1"/>
  <c r="C16" i="72"/>
  <c r="D16" i="72" s="1"/>
  <c r="E16" i="72" s="1"/>
  <c r="B17" i="72"/>
  <c r="B17" i="67"/>
  <c r="C16" i="67"/>
  <c r="B17" i="66"/>
  <c r="J15" i="59"/>
  <c r="K15" i="59" s="1"/>
  <c r="F16" i="59"/>
  <c r="G16" i="59"/>
  <c r="B17" i="59"/>
  <c r="I17" i="59" s="1"/>
  <c r="H16" i="59"/>
  <c r="D16" i="59"/>
  <c r="C16" i="59"/>
  <c r="E16" i="59"/>
  <c r="F18" i="57"/>
  <c r="G18" i="57"/>
  <c r="H17" i="57"/>
  <c r="I17" i="57" s="1"/>
  <c r="C18" i="57"/>
  <c r="E18" i="57"/>
  <c r="B19" i="57"/>
  <c r="D19" i="57" s="1"/>
  <c r="C17" i="60"/>
  <c r="D17" i="60" s="1"/>
  <c r="E17" i="60"/>
  <c r="F17" i="60" s="1"/>
  <c r="B18" i="60"/>
  <c r="E18" i="58"/>
  <c r="F18" i="58" s="1"/>
  <c r="C18" i="58"/>
  <c r="D18" i="58" s="1"/>
  <c r="B19" i="58"/>
  <c r="C17" i="66" l="1"/>
  <c r="D17" i="66"/>
  <c r="B18" i="66"/>
  <c r="C17" i="72"/>
  <c r="D17" i="72" s="1"/>
  <c r="E17" i="72" s="1"/>
  <c r="B18" i="72"/>
  <c r="D16" i="73"/>
  <c r="E16" i="73" s="1"/>
  <c r="D16" i="65"/>
  <c r="F16" i="65" s="1"/>
  <c r="G16" i="65" s="1"/>
  <c r="D16" i="67"/>
  <c r="E16" i="67" s="1"/>
  <c r="B18" i="73"/>
  <c r="C18" i="73" s="1"/>
  <c r="C17" i="65"/>
  <c r="E17" i="65"/>
  <c r="B18" i="65"/>
  <c r="E16" i="66"/>
  <c r="F16" i="66" s="1"/>
  <c r="B18" i="67"/>
  <c r="J16" i="59"/>
  <c r="K16" i="59" s="1"/>
  <c r="F17" i="59"/>
  <c r="G17" i="59"/>
  <c r="B18" i="59"/>
  <c r="I18" i="59" s="1"/>
  <c r="D17" i="59"/>
  <c r="E17" i="59"/>
  <c r="H17" i="59"/>
  <c r="C17" i="59"/>
  <c r="F19" i="57"/>
  <c r="G19" i="57"/>
  <c r="H18" i="57"/>
  <c r="I18" i="57" s="1"/>
  <c r="E19" i="57"/>
  <c r="C19" i="57"/>
  <c r="B20" i="57"/>
  <c r="D20" i="57" s="1"/>
  <c r="E18" i="60"/>
  <c r="F18" i="60" s="1"/>
  <c r="B19" i="60"/>
  <c r="C18" i="60"/>
  <c r="D18" i="60" s="1"/>
  <c r="E19" i="58"/>
  <c r="F19" i="58" s="1"/>
  <c r="B20" i="58"/>
  <c r="C19" i="58"/>
  <c r="D19" i="58" s="1"/>
  <c r="C18" i="66" l="1"/>
  <c r="D18" i="66"/>
  <c r="D17" i="67"/>
  <c r="E17" i="67" s="1"/>
  <c r="C18" i="65"/>
  <c r="E18" i="65"/>
  <c r="B19" i="65"/>
  <c r="B19" i="73"/>
  <c r="C19" i="73" s="1"/>
  <c r="E17" i="66"/>
  <c r="F17" i="66" s="1"/>
  <c r="B19" i="67"/>
  <c r="D18" i="67"/>
  <c r="E18" i="67" s="1"/>
  <c r="D17" i="65"/>
  <c r="F17" i="65" s="1"/>
  <c r="G17" i="65" s="1"/>
  <c r="C18" i="72"/>
  <c r="D18" i="72" s="1"/>
  <c r="E18" i="72" s="1"/>
  <c r="B19" i="72"/>
  <c r="D17" i="73"/>
  <c r="E17" i="73" s="1"/>
  <c r="B19" i="66"/>
  <c r="J17" i="59"/>
  <c r="K17" i="59" s="1"/>
  <c r="F18" i="59"/>
  <c r="G18" i="59"/>
  <c r="H18" i="59"/>
  <c r="D18" i="59"/>
  <c r="B19" i="59"/>
  <c r="I19" i="59" s="1"/>
  <c r="C18" i="59"/>
  <c r="E18" i="59"/>
  <c r="F20" i="57"/>
  <c r="G20" i="57"/>
  <c r="H19" i="57"/>
  <c r="I19" i="57" s="1"/>
  <c r="E20" i="57"/>
  <c r="C20" i="57"/>
  <c r="B21" i="57"/>
  <c r="D21" i="57" s="1"/>
  <c r="B20" i="60"/>
  <c r="C19" i="60"/>
  <c r="D19" i="60" s="1"/>
  <c r="E19" i="60"/>
  <c r="F19" i="60" s="1"/>
  <c r="B21" i="58"/>
  <c r="E20" i="58"/>
  <c r="F20" i="58" s="1"/>
  <c r="C20" i="58"/>
  <c r="D20" i="58" s="1"/>
  <c r="C19" i="66" l="1"/>
  <c r="D19" i="66"/>
  <c r="E18" i="66"/>
  <c r="F18" i="66" s="1"/>
  <c r="B20" i="66"/>
  <c r="B20" i="67"/>
  <c r="C19" i="65"/>
  <c r="E19" i="65"/>
  <c r="B20" i="65"/>
  <c r="D18" i="73"/>
  <c r="E18" i="73" s="1"/>
  <c r="D18" i="65"/>
  <c r="F18" i="65" s="1"/>
  <c r="G18" i="65" s="1"/>
  <c r="C19" i="72"/>
  <c r="D19" i="72" s="1"/>
  <c r="E19" i="72" s="1"/>
  <c r="B20" i="72"/>
  <c r="B20" i="73"/>
  <c r="C20" i="73" s="1"/>
  <c r="J18" i="59"/>
  <c r="K18" i="59" s="1"/>
  <c r="F19" i="59"/>
  <c r="G19" i="59"/>
  <c r="B20" i="59"/>
  <c r="I20" i="59" s="1"/>
  <c r="H19" i="59"/>
  <c r="C19" i="59"/>
  <c r="D19" i="59"/>
  <c r="E19" i="59"/>
  <c r="F21" i="57"/>
  <c r="G21" i="57"/>
  <c r="H20" i="57"/>
  <c r="I20" i="57" s="1"/>
  <c r="E21" i="57"/>
  <c r="C21" i="57"/>
  <c r="B22" i="57"/>
  <c r="D22" i="57" s="1"/>
  <c r="E20" i="60"/>
  <c r="F20" i="60" s="1"/>
  <c r="B21" i="60"/>
  <c r="C20" i="60"/>
  <c r="D20" i="60" s="1"/>
  <c r="C21" i="58"/>
  <c r="D21" i="58" s="1"/>
  <c r="E21" i="58"/>
  <c r="F21" i="58" s="1"/>
  <c r="B22" i="58"/>
  <c r="C20" i="66" l="1"/>
  <c r="D20" i="66"/>
  <c r="D19" i="67"/>
  <c r="E19" i="67" s="1"/>
  <c r="B21" i="66"/>
  <c r="D19" i="73"/>
  <c r="E19" i="73" s="1"/>
  <c r="C20" i="65"/>
  <c r="E20" i="65"/>
  <c r="B21" i="65"/>
  <c r="B21" i="73"/>
  <c r="C21" i="73" s="1"/>
  <c r="B21" i="67"/>
  <c r="J19" i="59"/>
  <c r="C20" i="72"/>
  <c r="D20" i="72" s="1"/>
  <c r="E20" i="72" s="1"/>
  <c r="B21" i="72"/>
  <c r="D19" i="65"/>
  <c r="F19" i="65" s="1"/>
  <c r="G19" i="65" s="1"/>
  <c r="E19" i="66"/>
  <c r="F19" i="66" s="1"/>
  <c r="F20" i="59"/>
  <c r="G20" i="59"/>
  <c r="B21" i="59"/>
  <c r="I21" i="59" s="1"/>
  <c r="H20" i="59"/>
  <c r="C20" i="59"/>
  <c r="D20" i="59"/>
  <c r="E20" i="59"/>
  <c r="K19" i="59"/>
  <c r="H21" i="57"/>
  <c r="I21" i="57" s="1"/>
  <c r="G22" i="57"/>
  <c r="F22" i="57"/>
  <c r="E22" i="57"/>
  <c r="C22" i="57"/>
  <c r="B23" i="57"/>
  <c r="D23" i="57" s="1"/>
  <c r="E21" i="60"/>
  <c r="F21" i="60" s="1"/>
  <c r="C21" i="60"/>
  <c r="D21" i="60" s="1"/>
  <c r="B22" i="60"/>
  <c r="B23" i="58"/>
  <c r="E22" i="58"/>
  <c r="F22" i="58" s="1"/>
  <c r="C22" i="58"/>
  <c r="D22" i="58" s="1"/>
  <c r="C21" i="66" l="1"/>
  <c r="D21" i="66"/>
  <c r="D20" i="73"/>
  <c r="E20" i="73" s="1"/>
  <c r="D20" i="65"/>
  <c r="F20" i="65" s="1"/>
  <c r="G20" i="65" s="1"/>
  <c r="D20" i="67"/>
  <c r="E20" i="67" s="1"/>
  <c r="B22" i="73"/>
  <c r="C22" i="73" s="1"/>
  <c r="B22" i="66"/>
  <c r="C21" i="65"/>
  <c r="E21" i="65"/>
  <c r="B22" i="65"/>
  <c r="J20" i="59"/>
  <c r="C21" i="72"/>
  <c r="D21" i="72" s="1"/>
  <c r="E21" i="72" s="1"/>
  <c r="B22" i="72"/>
  <c r="B22" i="67"/>
  <c r="D21" i="67"/>
  <c r="E21" i="67" s="1"/>
  <c r="E20" i="66"/>
  <c r="F20" i="66" s="1"/>
  <c r="K20" i="59"/>
  <c r="F21" i="59"/>
  <c r="B22" i="59"/>
  <c r="I22" i="59" s="1"/>
  <c r="E21" i="59"/>
  <c r="G21" i="59"/>
  <c r="H21" i="59"/>
  <c r="C21" i="59"/>
  <c r="D21" i="59"/>
  <c r="G23" i="57"/>
  <c r="F23" i="57"/>
  <c r="H22" i="57"/>
  <c r="I22" i="57" s="1"/>
  <c r="E23" i="57"/>
  <c r="C23" i="57"/>
  <c r="B24" i="57"/>
  <c r="D24" i="57" s="1"/>
  <c r="B23" i="60"/>
  <c r="C22" i="60"/>
  <c r="D22" i="60" s="1"/>
  <c r="E22" i="60"/>
  <c r="F22" i="60" s="1"/>
  <c r="C23" i="58"/>
  <c r="D23" i="58" s="1"/>
  <c r="B24" i="58"/>
  <c r="E23" i="58"/>
  <c r="F23" i="58" s="1"/>
  <c r="C22" i="66" l="1"/>
  <c r="D22" i="66"/>
  <c r="J21" i="59"/>
  <c r="E21" i="66"/>
  <c r="F21" i="66" s="1"/>
  <c r="D21" i="65"/>
  <c r="F21" i="65" s="1"/>
  <c r="G21" i="65" s="1"/>
  <c r="B23" i="66"/>
  <c r="D21" i="73"/>
  <c r="E21" i="73" s="1"/>
  <c r="B23" i="67"/>
  <c r="C22" i="65"/>
  <c r="E22" i="65"/>
  <c r="B23" i="65"/>
  <c r="B23" i="73"/>
  <c r="C23" i="73" s="1"/>
  <c r="C22" i="72"/>
  <c r="D22" i="72" s="1"/>
  <c r="E22" i="72" s="1"/>
  <c r="B23" i="72"/>
  <c r="K21" i="59"/>
  <c r="F22" i="59"/>
  <c r="G22" i="59"/>
  <c r="B23" i="59"/>
  <c r="I23" i="59" s="1"/>
  <c r="H22" i="59"/>
  <c r="E22" i="59"/>
  <c r="C22" i="59"/>
  <c r="D22" i="59"/>
  <c r="F24" i="57"/>
  <c r="G24" i="57"/>
  <c r="H23" i="57"/>
  <c r="I23" i="57" s="1"/>
  <c r="C24" i="57"/>
  <c r="E24" i="57"/>
  <c r="B25" i="57"/>
  <c r="D25" i="57" s="1"/>
  <c r="E23" i="60"/>
  <c r="F23" i="60" s="1"/>
  <c r="B24" i="60"/>
  <c r="C23" i="60"/>
  <c r="D23" i="60" s="1"/>
  <c r="E24" i="58"/>
  <c r="F24" i="58" s="1"/>
  <c r="C24" i="58"/>
  <c r="D24" i="58" s="1"/>
  <c r="B25" i="58"/>
  <c r="C23" i="66" l="1"/>
  <c r="D23" i="66"/>
  <c r="E22" i="66"/>
  <c r="F22" i="66" s="1"/>
  <c r="D22" i="73"/>
  <c r="E22" i="73" s="1"/>
  <c r="D22" i="65"/>
  <c r="F22" i="65" s="1"/>
  <c r="G22" i="65" s="1"/>
  <c r="B24" i="73"/>
  <c r="C24" i="73" s="1"/>
  <c r="D22" i="67"/>
  <c r="E22" i="67" s="1"/>
  <c r="C23" i="72"/>
  <c r="D23" i="72" s="1"/>
  <c r="E23" i="72" s="1"/>
  <c r="B24" i="72"/>
  <c r="C23" i="65"/>
  <c r="E23" i="65"/>
  <c r="B24" i="65"/>
  <c r="B24" i="66"/>
  <c r="B24" i="67"/>
  <c r="D23" i="67"/>
  <c r="E23" i="67" s="1"/>
  <c r="J22" i="59"/>
  <c r="K22" i="59" s="1"/>
  <c r="F23" i="59"/>
  <c r="C23" i="59"/>
  <c r="G23" i="59"/>
  <c r="D23" i="59"/>
  <c r="H23" i="59"/>
  <c r="B24" i="59"/>
  <c r="I24" i="59" s="1"/>
  <c r="E23" i="59"/>
  <c r="F25" i="57"/>
  <c r="G25" i="57"/>
  <c r="H24" i="57"/>
  <c r="I24" i="57" s="1"/>
  <c r="E25" i="57"/>
  <c r="C25" i="57"/>
  <c r="B26" i="57"/>
  <c r="D26" i="57" s="1"/>
  <c r="E24" i="60"/>
  <c r="F24" i="60" s="1"/>
  <c r="C24" i="60"/>
  <c r="D24" i="60" s="1"/>
  <c r="B25" i="60"/>
  <c r="E25" i="58"/>
  <c r="F25" i="58" s="1"/>
  <c r="B26" i="58"/>
  <c r="C25" i="58"/>
  <c r="D25" i="58" s="1"/>
  <c r="C24" i="66" l="1"/>
  <c r="D24" i="66"/>
  <c r="B25" i="66"/>
  <c r="C24" i="65"/>
  <c r="E24" i="65"/>
  <c r="B25" i="65"/>
  <c r="D23" i="65"/>
  <c r="F23" i="65" s="1"/>
  <c r="G23" i="65" s="1"/>
  <c r="D23" i="73"/>
  <c r="E23" i="73" s="1"/>
  <c r="E23" i="66"/>
  <c r="F23" i="66" s="1"/>
  <c r="B25" i="67"/>
  <c r="C24" i="72"/>
  <c r="D24" i="72" s="1"/>
  <c r="E24" i="72" s="1"/>
  <c r="B25" i="72"/>
  <c r="B25" i="73"/>
  <c r="C25" i="73" s="1"/>
  <c r="J23" i="59"/>
  <c r="K23" i="59" s="1"/>
  <c r="F24" i="59"/>
  <c r="H24" i="59"/>
  <c r="B25" i="59"/>
  <c r="I25" i="59" s="1"/>
  <c r="C24" i="59"/>
  <c r="D24" i="59"/>
  <c r="E24" i="59"/>
  <c r="G24" i="59"/>
  <c r="H25" i="57"/>
  <c r="I25" i="57" s="1"/>
  <c r="G26" i="57"/>
  <c r="F26" i="57"/>
  <c r="C26" i="57"/>
  <c r="E26" i="57"/>
  <c r="B27" i="57"/>
  <c r="D27" i="57" s="1"/>
  <c r="B26" i="60"/>
  <c r="E25" i="60"/>
  <c r="F25" i="60" s="1"/>
  <c r="C25" i="60"/>
  <c r="D25" i="60" s="1"/>
  <c r="C26" i="58"/>
  <c r="D26" i="58" s="1"/>
  <c r="E26" i="58"/>
  <c r="F26" i="58" s="1"/>
  <c r="B27" i="58"/>
  <c r="C25" i="66" l="1"/>
  <c r="D25" i="66"/>
  <c r="E24" i="66"/>
  <c r="F24" i="66" s="1"/>
  <c r="B26" i="66"/>
  <c r="D24" i="73"/>
  <c r="E24" i="73" s="1"/>
  <c r="D24" i="67"/>
  <c r="E24" i="67" s="1"/>
  <c r="C25" i="65"/>
  <c r="E25" i="65"/>
  <c r="B26" i="65"/>
  <c r="B26" i="73"/>
  <c r="C26" i="73" s="1"/>
  <c r="C25" i="72"/>
  <c r="D25" i="72" s="1"/>
  <c r="E25" i="72" s="1"/>
  <c r="B26" i="72"/>
  <c r="B26" i="67"/>
  <c r="D25" i="67"/>
  <c r="E25" i="67" s="1"/>
  <c r="D24" i="65"/>
  <c r="F24" i="65" s="1"/>
  <c r="G24" i="65" s="1"/>
  <c r="J24" i="59"/>
  <c r="K24" i="59" s="1"/>
  <c r="F25" i="59"/>
  <c r="C25" i="59"/>
  <c r="E25" i="59"/>
  <c r="G25" i="59"/>
  <c r="D25" i="59"/>
  <c r="H25" i="59"/>
  <c r="B26" i="59"/>
  <c r="I26" i="59" s="1"/>
  <c r="G27" i="57"/>
  <c r="F27" i="57"/>
  <c r="H26" i="57"/>
  <c r="I26" i="57" s="1"/>
  <c r="E27" i="57"/>
  <c r="C27" i="57"/>
  <c r="B28" i="57"/>
  <c r="D28" i="57" s="1"/>
  <c r="E26" i="60"/>
  <c r="F26" i="60" s="1"/>
  <c r="B27" i="60"/>
  <c r="C26" i="60"/>
  <c r="D26" i="60" s="1"/>
  <c r="E27" i="58"/>
  <c r="F27" i="58" s="1"/>
  <c r="C27" i="58"/>
  <c r="D27" i="58" s="1"/>
  <c r="B28" i="58"/>
  <c r="C26" i="66" l="1"/>
  <c r="D26" i="66"/>
  <c r="E25" i="66"/>
  <c r="F25" i="66" s="1"/>
  <c r="D25" i="73"/>
  <c r="E25" i="73" s="1"/>
  <c r="D25" i="65"/>
  <c r="F25" i="65" s="1"/>
  <c r="G25" i="65" s="1"/>
  <c r="B27" i="66"/>
  <c r="D26" i="67"/>
  <c r="E26" i="67" s="1"/>
  <c r="B27" i="67"/>
  <c r="B27" i="73"/>
  <c r="C26" i="72"/>
  <c r="D26" i="72" s="1"/>
  <c r="E26" i="72" s="1"/>
  <c r="B27" i="72"/>
  <c r="C26" i="65"/>
  <c r="E26" i="65"/>
  <c r="B27" i="65"/>
  <c r="J25" i="59"/>
  <c r="F26" i="59"/>
  <c r="H26" i="59"/>
  <c r="C26" i="59"/>
  <c r="B27" i="59"/>
  <c r="I27" i="59" s="1"/>
  <c r="D26" i="59"/>
  <c r="G26" i="59"/>
  <c r="E26" i="59"/>
  <c r="K25" i="59"/>
  <c r="F28" i="57"/>
  <c r="G28" i="57"/>
  <c r="H27" i="57"/>
  <c r="I27" i="57" s="1"/>
  <c r="C28" i="57"/>
  <c r="E28" i="57"/>
  <c r="B29" i="57"/>
  <c r="D29" i="57" s="1"/>
  <c r="E27" i="60"/>
  <c r="F27" i="60" s="1"/>
  <c r="C27" i="60"/>
  <c r="D27" i="60" s="1"/>
  <c r="B28" i="60"/>
  <c r="E28" i="58"/>
  <c r="F28" i="58" s="1"/>
  <c r="C28" i="58"/>
  <c r="D28" i="58" s="1"/>
  <c r="B29" i="58"/>
  <c r="E26" i="66" l="1"/>
  <c r="F26" i="66" s="1"/>
  <c r="D26" i="65"/>
  <c r="F26" i="65" s="1"/>
  <c r="G26" i="65" s="1"/>
  <c r="B28" i="73"/>
  <c r="D27" i="73"/>
  <c r="E27" i="73" s="1"/>
  <c r="B28" i="66"/>
  <c r="E27" i="66"/>
  <c r="F27" i="66" s="1"/>
  <c r="B28" i="65"/>
  <c r="F27" i="65"/>
  <c r="G27" i="65" s="1"/>
  <c r="D27" i="72"/>
  <c r="E27" i="72" s="1"/>
  <c r="B28" i="72"/>
  <c r="B28" i="67"/>
  <c r="D27" i="67"/>
  <c r="E27" i="67" s="1"/>
  <c r="D26" i="73"/>
  <c r="E26" i="73" s="1"/>
  <c r="J26" i="59"/>
  <c r="K26" i="59" s="1"/>
  <c r="F27" i="59"/>
  <c r="G27" i="59"/>
  <c r="D27" i="59"/>
  <c r="H27" i="59"/>
  <c r="B28" i="59"/>
  <c r="I28" i="59" s="1"/>
  <c r="C27" i="59"/>
  <c r="E27" i="59"/>
  <c r="G29" i="57"/>
  <c r="F29" i="57"/>
  <c r="H28" i="57"/>
  <c r="I28" i="57" s="1"/>
  <c r="E29" i="57"/>
  <c r="C29" i="57"/>
  <c r="B30" i="57"/>
  <c r="D30" i="57" s="1"/>
  <c r="C28" i="60"/>
  <c r="D28" i="60" s="1"/>
  <c r="B29" i="60"/>
  <c r="E28" i="60"/>
  <c r="F28" i="60" s="1"/>
  <c r="E29" i="58"/>
  <c r="F29" i="58" s="1"/>
  <c r="C29" i="58"/>
  <c r="D29" i="58" s="1"/>
  <c r="B30" i="58"/>
  <c r="B29" i="66" l="1"/>
  <c r="E28" i="66"/>
  <c r="F28" i="66" s="1"/>
  <c r="C28" i="73"/>
  <c r="D28" i="73" s="1"/>
  <c r="E28" i="73" s="1"/>
  <c r="B29" i="73"/>
  <c r="D28" i="67"/>
  <c r="E28" i="67" s="1"/>
  <c r="B29" i="67"/>
  <c r="B29" i="65"/>
  <c r="C28" i="65"/>
  <c r="F28" i="65" s="1"/>
  <c r="G28" i="65" s="1"/>
  <c r="C28" i="72"/>
  <c r="D28" i="72" s="1"/>
  <c r="E28" i="72" s="1"/>
  <c r="B29" i="72"/>
  <c r="J27" i="59"/>
  <c r="K27" i="59" s="1"/>
  <c r="E28" i="59"/>
  <c r="F28" i="59"/>
  <c r="G28" i="59"/>
  <c r="H28" i="59"/>
  <c r="C28" i="59"/>
  <c r="B29" i="59"/>
  <c r="I29" i="59" s="1"/>
  <c r="D28" i="59"/>
  <c r="H29" i="57"/>
  <c r="I29" i="57" s="1"/>
  <c r="F30" i="57"/>
  <c r="G30" i="57"/>
  <c r="E30" i="57"/>
  <c r="C30" i="57"/>
  <c r="B31" i="57"/>
  <c r="D31" i="57" s="1"/>
  <c r="C29" i="60"/>
  <c r="D29" i="60" s="1"/>
  <c r="B30" i="60"/>
  <c r="E29" i="60"/>
  <c r="F29" i="60" s="1"/>
  <c r="E30" i="58"/>
  <c r="F30" i="58" s="1"/>
  <c r="C30" i="58"/>
  <c r="D30" i="58" s="1"/>
  <c r="B31" i="58"/>
  <c r="C29" i="73" l="1"/>
  <c r="D29" i="73" s="1"/>
  <c r="E29" i="73" s="1"/>
  <c r="B30" i="73"/>
  <c r="B30" i="66"/>
  <c r="E29" i="66"/>
  <c r="F29" i="66" s="1"/>
  <c r="B30" i="65"/>
  <c r="C29" i="65"/>
  <c r="F29" i="65" s="1"/>
  <c r="G29" i="65" s="1"/>
  <c r="C29" i="72"/>
  <c r="D29" i="72" s="1"/>
  <c r="E29" i="72" s="1"/>
  <c r="B30" i="72"/>
  <c r="B30" i="67"/>
  <c r="D29" i="67"/>
  <c r="E29" i="67" s="1"/>
  <c r="F29" i="59"/>
  <c r="G29" i="59"/>
  <c r="H29" i="59"/>
  <c r="B30" i="59"/>
  <c r="I30" i="59" s="1"/>
  <c r="D29" i="59"/>
  <c r="E29" i="59"/>
  <c r="C29" i="59"/>
  <c r="J28" i="59"/>
  <c r="K28" i="59" s="1"/>
  <c r="G31" i="57"/>
  <c r="F31" i="57"/>
  <c r="H30" i="57"/>
  <c r="I30" i="57" s="1"/>
  <c r="E31" i="57"/>
  <c r="C31" i="57"/>
  <c r="B32" i="57"/>
  <c r="D32" i="57" s="1"/>
  <c r="E30" i="60"/>
  <c r="F30" i="60" s="1"/>
  <c r="C30" i="60"/>
  <c r="D30" i="60" s="1"/>
  <c r="B31" i="60"/>
  <c r="B32" i="58"/>
  <c r="E31" i="58"/>
  <c r="F31" i="58" s="1"/>
  <c r="C31" i="58"/>
  <c r="D31" i="58" s="1"/>
  <c r="B31" i="67" l="1"/>
  <c r="D30" i="67"/>
  <c r="E30" i="67" s="1"/>
  <c r="C30" i="65"/>
  <c r="F30" i="65" s="1"/>
  <c r="G30" i="65" s="1"/>
  <c r="B31" i="65"/>
  <c r="B31" i="72"/>
  <c r="C30" i="72"/>
  <c r="D30" i="72" s="1"/>
  <c r="E30" i="72" s="1"/>
  <c r="C30" i="73"/>
  <c r="D30" i="73" s="1"/>
  <c r="E30" i="73" s="1"/>
  <c r="B31" i="73"/>
  <c r="B31" i="66"/>
  <c r="E30" i="66"/>
  <c r="F30" i="66" s="1"/>
  <c r="J29" i="59"/>
  <c r="K29" i="59" s="1"/>
  <c r="F30" i="59"/>
  <c r="G30" i="59"/>
  <c r="H30" i="59"/>
  <c r="B31" i="59"/>
  <c r="I31" i="59" s="1"/>
  <c r="D30" i="59"/>
  <c r="C30" i="59"/>
  <c r="E30" i="59"/>
  <c r="F32" i="57"/>
  <c r="G32" i="57"/>
  <c r="H31" i="57"/>
  <c r="I31" i="57" s="1"/>
  <c r="C32" i="57"/>
  <c r="E32" i="57"/>
  <c r="B33" i="57"/>
  <c r="D33" i="57" s="1"/>
  <c r="B32" i="60"/>
  <c r="E31" i="60"/>
  <c r="F31" i="60" s="1"/>
  <c r="C31" i="60"/>
  <c r="D31" i="60" s="1"/>
  <c r="B33" i="58"/>
  <c r="E32" i="58"/>
  <c r="F32" i="58" s="1"/>
  <c r="C32" i="58"/>
  <c r="D32" i="58" s="1"/>
  <c r="B32" i="66" l="1"/>
  <c r="E31" i="66"/>
  <c r="F31" i="66" s="1"/>
  <c r="B32" i="65"/>
  <c r="C31" i="65"/>
  <c r="F31" i="65" s="1"/>
  <c r="G31" i="65" s="1"/>
  <c r="C31" i="73"/>
  <c r="D31" i="73" s="1"/>
  <c r="E31" i="73" s="1"/>
  <c r="B32" i="73"/>
  <c r="C31" i="72"/>
  <c r="D31" i="72" s="1"/>
  <c r="E31" i="72" s="1"/>
  <c r="B32" i="72"/>
  <c r="B32" i="67"/>
  <c r="D31" i="67"/>
  <c r="E31" i="67" s="1"/>
  <c r="J30" i="59"/>
  <c r="K30" i="59" s="1"/>
  <c r="E31" i="59"/>
  <c r="F31" i="59"/>
  <c r="G31" i="59"/>
  <c r="H31" i="59"/>
  <c r="B32" i="59"/>
  <c r="I32" i="59" s="1"/>
  <c r="D31" i="59"/>
  <c r="C31" i="59"/>
  <c r="G33" i="57"/>
  <c r="F33" i="57"/>
  <c r="H32" i="57"/>
  <c r="I32" i="57" s="1"/>
  <c r="E33" i="57"/>
  <c r="C33" i="57"/>
  <c r="B34" i="57"/>
  <c r="D34" i="57" s="1"/>
  <c r="E32" i="60"/>
  <c r="F32" i="60" s="1"/>
  <c r="B33" i="60"/>
  <c r="C32" i="60"/>
  <c r="D32" i="60" s="1"/>
  <c r="C33" i="58"/>
  <c r="D33" i="58" s="1"/>
  <c r="B34" i="58"/>
  <c r="E33" i="58"/>
  <c r="F33" i="58" s="1"/>
  <c r="D32" i="67" l="1"/>
  <c r="E32" i="67" s="1"/>
  <c r="B33" i="67"/>
  <c r="B33" i="72"/>
  <c r="C32" i="72"/>
  <c r="D32" i="72" s="1"/>
  <c r="E32" i="72" s="1"/>
  <c r="B33" i="66"/>
  <c r="E32" i="66"/>
  <c r="F32" i="66" s="1"/>
  <c r="C32" i="73"/>
  <c r="D32" i="73" s="1"/>
  <c r="E32" i="73" s="1"/>
  <c r="B33" i="73"/>
  <c r="C32" i="65"/>
  <c r="F32" i="65" s="1"/>
  <c r="G32" i="65" s="1"/>
  <c r="B33" i="65"/>
  <c r="J31" i="59"/>
  <c r="K31" i="59" s="1"/>
  <c r="E32" i="59"/>
  <c r="F32" i="59"/>
  <c r="G32" i="59"/>
  <c r="H32" i="59"/>
  <c r="B33" i="59"/>
  <c r="I33" i="59" s="1"/>
  <c r="D32" i="59"/>
  <c r="C32" i="59"/>
  <c r="F34" i="57"/>
  <c r="G34" i="57"/>
  <c r="H33" i="57"/>
  <c r="I33" i="57" s="1"/>
  <c r="C34" i="57"/>
  <c r="E34" i="57"/>
  <c r="B35" i="57"/>
  <c r="D35" i="57" s="1"/>
  <c r="C33" i="60"/>
  <c r="D33" i="60" s="1"/>
  <c r="E33" i="60"/>
  <c r="F33" i="60" s="1"/>
  <c r="B34" i="60"/>
  <c r="B35" i="58"/>
  <c r="E34" i="58"/>
  <c r="F34" i="58" s="1"/>
  <c r="C34" i="58"/>
  <c r="D34" i="58" s="1"/>
  <c r="B34" i="66" l="1"/>
  <c r="E33" i="66"/>
  <c r="F33" i="66" s="1"/>
  <c r="B34" i="72"/>
  <c r="C33" i="72"/>
  <c r="D33" i="72" s="1"/>
  <c r="E33" i="72" s="1"/>
  <c r="C33" i="73"/>
  <c r="D33" i="73" s="1"/>
  <c r="E33" i="73" s="1"/>
  <c r="B34" i="73"/>
  <c r="B34" i="67"/>
  <c r="D33" i="67"/>
  <c r="E33" i="67" s="1"/>
  <c r="B34" i="65"/>
  <c r="C33" i="65"/>
  <c r="F33" i="65" s="1"/>
  <c r="G33" i="65" s="1"/>
  <c r="J32" i="59"/>
  <c r="K32" i="59" s="1"/>
  <c r="F33" i="59"/>
  <c r="G33" i="59"/>
  <c r="H33" i="59"/>
  <c r="E33" i="59"/>
  <c r="B34" i="59"/>
  <c r="I34" i="59" s="1"/>
  <c r="D33" i="59"/>
  <c r="C33" i="59"/>
  <c r="G35" i="57"/>
  <c r="F35" i="57"/>
  <c r="H34" i="57"/>
  <c r="I34" i="57" s="1"/>
  <c r="E35" i="57"/>
  <c r="C35" i="57"/>
  <c r="B36" i="57"/>
  <c r="D36" i="57" s="1"/>
  <c r="C34" i="60"/>
  <c r="D34" i="60" s="1"/>
  <c r="B35" i="60"/>
  <c r="E34" i="60"/>
  <c r="F34" i="60" s="1"/>
  <c r="B36" i="58"/>
  <c r="E35" i="58"/>
  <c r="F35" i="58" s="1"/>
  <c r="C35" i="58"/>
  <c r="D35" i="58" s="1"/>
  <c r="C34" i="65" l="1"/>
  <c r="F34" i="65" s="1"/>
  <c r="G34" i="65" s="1"/>
  <c r="B35" i="65"/>
  <c r="E34" i="66"/>
  <c r="F34" i="66" s="1"/>
  <c r="B35" i="66"/>
  <c r="D34" i="67"/>
  <c r="E34" i="67" s="1"/>
  <c r="B35" i="67"/>
  <c r="C34" i="73"/>
  <c r="D34" i="73" s="1"/>
  <c r="E34" i="73" s="1"/>
  <c r="B35" i="73"/>
  <c r="B35" i="72"/>
  <c r="C34" i="72"/>
  <c r="D34" i="72" s="1"/>
  <c r="E34" i="72" s="1"/>
  <c r="J33" i="59"/>
  <c r="K33" i="59" s="1"/>
  <c r="F34" i="59"/>
  <c r="G34" i="59"/>
  <c r="H34" i="59"/>
  <c r="B35" i="59"/>
  <c r="I35" i="59" s="1"/>
  <c r="D34" i="59"/>
  <c r="C34" i="59"/>
  <c r="E34" i="59"/>
  <c r="F36" i="57"/>
  <c r="G36" i="57"/>
  <c r="H35" i="57"/>
  <c r="I35" i="57" s="1"/>
  <c r="E36" i="57"/>
  <c r="C36" i="57"/>
  <c r="E35" i="60"/>
  <c r="F35" i="60" s="1"/>
  <c r="B36" i="60"/>
  <c r="C35" i="60"/>
  <c r="D35" i="60" s="1"/>
  <c r="E36" i="58"/>
  <c r="F36" i="58" s="1"/>
  <c r="C36" i="58"/>
  <c r="D36" i="58" s="1"/>
  <c r="B37" i="58"/>
  <c r="C35" i="73" l="1"/>
  <c r="D35" i="73" s="1"/>
  <c r="E35" i="73" s="1"/>
  <c r="B36" i="73"/>
  <c r="B36" i="72"/>
  <c r="C36" i="72" s="1"/>
  <c r="D36" i="72" s="1"/>
  <c r="E36" i="72" s="1"/>
  <c r="C35" i="72"/>
  <c r="D35" i="72" s="1"/>
  <c r="E35" i="72" s="1"/>
  <c r="B36" i="67"/>
  <c r="D36" i="67" s="1"/>
  <c r="E36" i="67" s="1"/>
  <c r="D35" i="67"/>
  <c r="E35" i="67" s="1"/>
  <c r="B36" i="66"/>
  <c r="E35" i="66"/>
  <c r="F35" i="66" s="1"/>
  <c r="C35" i="65"/>
  <c r="F35" i="65" s="1"/>
  <c r="G35" i="65" s="1"/>
  <c r="B36" i="65"/>
  <c r="C36" i="65" s="1"/>
  <c r="F36" i="65" s="1"/>
  <c r="G36" i="65" s="1"/>
  <c r="J34" i="59"/>
  <c r="K34" i="59" s="1"/>
  <c r="F35" i="59"/>
  <c r="G35" i="59"/>
  <c r="H35" i="59"/>
  <c r="C35" i="59"/>
  <c r="E35" i="59"/>
  <c r="B36" i="59"/>
  <c r="I36" i="59" s="1"/>
  <c r="D35" i="59"/>
  <c r="H36" i="57"/>
  <c r="I36" i="57" s="1"/>
  <c r="I37" i="57" s="1"/>
  <c r="E36" i="60"/>
  <c r="F36" i="60" s="1"/>
  <c r="B37" i="60"/>
  <c r="C36" i="60"/>
  <c r="D36" i="60" s="1"/>
  <c r="B38" i="58"/>
  <c r="E37" i="58"/>
  <c r="F37" i="58" s="1"/>
  <c r="C37" i="58"/>
  <c r="D37" i="58" s="1"/>
  <c r="E37" i="72" l="1"/>
  <c r="J50" i="74" s="1"/>
  <c r="C37" i="12" s="1"/>
  <c r="C36" i="73"/>
  <c r="D36" i="73" s="1"/>
  <c r="E36" i="73" s="1"/>
  <c r="E37" i="73" s="1"/>
  <c r="J50" i="78" s="1"/>
  <c r="E36" i="66"/>
  <c r="F36" i="66" s="1"/>
  <c r="F37" i="66" s="1"/>
  <c r="J50" i="75" s="1"/>
  <c r="E37" i="67"/>
  <c r="J50" i="76" s="1"/>
  <c r="G37" i="65"/>
  <c r="J50" i="80" s="1"/>
  <c r="J35" i="59"/>
  <c r="K35" i="59" s="1"/>
  <c r="F36" i="59"/>
  <c r="G36" i="59"/>
  <c r="C36" i="59"/>
  <c r="E36" i="59"/>
  <c r="H36" i="59"/>
  <c r="D36" i="59"/>
  <c r="O27" i="12"/>
  <c r="B38" i="60"/>
  <c r="E37" i="60"/>
  <c r="F37" i="60" s="1"/>
  <c r="C37" i="60"/>
  <c r="D37" i="60" s="1"/>
  <c r="B39" i="58"/>
  <c r="C38" i="58"/>
  <c r="D38" i="58" s="1"/>
  <c r="E38" i="58"/>
  <c r="F38" i="58" s="1"/>
  <c r="I37" i="12" l="1"/>
  <c r="K37" i="12" s="1"/>
  <c r="C47" i="12"/>
  <c r="J53" i="80"/>
  <c r="J52" i="80"/>
  <c r="J52" i="74"/>
  <c r="J53" i="74"/>
  <c r="C27" i="12"/>
  <c r="J52" i="76"/>
  <c r="J53" i="76"/>
  <c r="F37" i="12"/>
  <c r="L37" i="12" s="1"/>
  <c r="E37" i="12"/>
  <c r="C42" i="12"/>
  <c r="I42" i="12" s="1"/>
  <c r="J53" i="78"/>
  <c r="J52" i="78"/>
  <c r="C22" i="12"/>
  <c r="I22" i="12" s="1"/>
  <c r="J53" i="75"/>
  <c r="J52" i="75"/>
  <c r="J36" i="59"/>
  <c r="K36" i="59" s="1"/>
  <c r="K37" i="59" s="1"/>
  <c r="B39" i="60"/>
  <c r="E38" i="60"/>
  <c r="F38" i="60" s="1"/>
  <c r="C38" i="60"/>
  <c r="D38" i="60" s="1"/>
  <c r="E39" i="58"/>
  <c r="F39" i="58" s="1"/>
  <c r="C39" i="58"/>
  <c r="D39" i="58" s="1"/>
  <c r="B40" i="58"/>
  <c r="I47" i="12" l="1"/>
  <c r="K47" i="12" s="1"/>
  <c r="I27" i="12"/>
  <c r="K27" i="12" s="1"/>
  <c r="P27" i="12" s="1"/>
  <c r="F42" i="12"/>
  <c r="L42" i="12" s="1"/>
  <c r="K42" i="12"/>
  <c r="E27" i="12"/>
  <c r="F27" i="12"/>
  <c r="F47" i="12"/>
  <c r="L47" i="12" s="1"/>
  <c r="E47" i="12"/>
  <c r="E42" i="12"/>
  <c r="E39" i="60"/>
  <c r="F39" i="60" s="1"/>
  <c r="C39" i="60"/>
  <c r="D39" i="60" s="1"/>
  <c r="B40" i="60"/>
  <c r="B41" i="58"/>
  <c r="E40" i="58"/>
  <c r="F40" i="58" s="1"/>
  <c r="C40" i="58"/>
  <c r="D40" i="58" s="1"/>
  <c r="N27" i="12" l="1"/>
  <c r="L27" i="12"/>
  <c r="Q27" i="12" s="1"/>
  <c r="O22" i="12"/>
  <c r="N22" i="12"/>
  <c r="B41" i="60"/>
  <c r="E40" i="60"/>
  <c r="F40" i="60" s="1"/>
  <c r="C40" i="60"/>
  <c r="D40" i="60" s="1"/>
  <c r="C41" i="58"/>
  <c r="D41" i="58" s="1"/>
  <c r="B42" i="58"/>
  <c r="E41" i="58"/>
  <c r="F41" i="58" s="1"/>
  <c r="K22" i="12" l="1"/>
  <c r="P22" i="12" s="1"/>
  <c r="F22" i="12"/>
  <c r="L22" i="12" s="1"/>
  <c r="E22" i="12"/>
  <c r="C41" i="60"/>
  <c r="D41" i="60" s="1"/>
  <c r="E41" i="60"/>
  <c r="F41" i="60" s="1"/>
  <c r="B42" i="60"/>
  <c r="E42" i="58"/>
  <c r="F42" i="58" s="1"/>
  <c r="C42" i="58"/>
  <c r="D42" i="58" s="1"/>
  <c r="B43" i="58"/>
  <c r="Q22" i="12" l="1"/>
  <c r="E42" i="60"/>
  <c r="F42" i="60" s="1"/>
  <c r="C42" i="60"/>
  <c r="D42" i="60" s="1"/>
  <c r="B43" i="60"/>
  <c r="B44" i="58"/>
  <c r="E43" i="58"/>
  <c r="F43" i="58" s="1"/>
  <c r="C43" i="58"/>
  <c r="D43" i="58" s="1"/>
  <c r="C43" i="60" l="1"/>
  <c r="D43" i="60" s="1"/>
  <c r="B44" i="60"/>
  <c r="E43" i="60"/>
  <c r="F43" i="60" s="1"/>
  <c r="E44" i="58"/>
  <c r="F44" i="58" s="1"/>
  <c r="F45" i="58" s="1"/>
  <c r="J50" i="58" s="1"/>
  <c r="C44" i="58"/>
  <c r="D44" i="58" s="1"/>
  <c r="D45" i="58" s="1"/>
  <c r="J51" i="58" s="1"/>
  <c r="D12" i="12" s="1"/>
  <c r="C12" i="12" l="1"/>
  <c r="O12" i="12"/>
  <c r="C44" i="60"/>
  <c r="D44" i="60" s="1"/>
  <c r="D45" i="60" s="1"/>
  <c r="J47" i="60" s="1"/>
  <c r="E44" i="60"/>
  <c r="F44" i="60" s="1"/>
  <c r="F45" i="60" s="1"/>
  <c r="J46" i="60" s="1"/>
  <c r="C17" i="12" s="1"/>
  <c r="D17" i="12" l="1"/>
  <c r="D7" i="12" s="1"/>
  <c r="C7" i="12"/>
  <c r="I7" i="12" s="1"/>
  <c r="N12" i="12"/>
  <c r="E12" i="12"/>
  <c r="F12" i="12"/>
  <c r="Q12" i="12" s="1"/>
  <c r="N17" i="12"/>
  <c r="J49" i="60"/>
  <c r="J48" i="60"/>
  <c r="O17" i="12" l="1"/>
  <c r="K12" i="12"/>
  <c r="P12" i="12" s="1"/>
  <c r="F17" i="12"/>
  <c r="Q17" i="12" s="1"/>
  <c r="E17" i="12"/>
  <c r="K17" i="12"/>
  <c r="P17" i="12" s="1"/>
  <c r="O7" i="12"/>
  <c r="D5" i="10" l="1"/>
  <c r="D4" i="10"/>
  <c r="D3" i="10"/>
  <c r="G6" i="10" l="1"/>
  <c r="J53" i="58" l="1"/>
  <c r="J52" i="58"/>
  <c r="K7" i="12" l="1"/>
  <c r="P7" i="12" s="1"/>
  <c r="N7" i="12"/>
  <c r="F7" i="12"/>
  <c r="E7" i="12"/>
  <c r="L7" i="12" l="1"/>
  <c r="Q7" i="12" s="1"/>
</calcChain>
</file>

<file path=xl/sharedStrings.xml><?xml version="1.0" encoding="utf-8"?>
<sst xmlns="http://schemas.openxmlformats.org/spreadsheetml/2006/main" count="1019" uniqueCount="370">
  <si>
    <t>Analysis Year</t>
  </si>
  <si>
    <t>7% Discount</t>
  </si>
  <si>
    <t>Total Benefit</t>
  </si>
  <si>
    <t>NOTES:</t>
  </si>
  <si>
    <t xml:space="preserve">Cost Category </t>
  </si>
  <si>
    <t>Life (years)</t>
  </si>
  <si>
    <t>RCV = A*(B-C)/B</t>
  </si>
  <si>
    <t>A = (1+r)^n</t>
  </si>
  <si>
    <t>=</t>
  </si>
  <si>
    <t>r = discount rate</t>
  </si>
  <si>
    <t>B = ((1+r)^L-1)/(r(1+r)^L)</t>
  </si>
  <si>
    <t>n = number of years in the analysis period</t>
  </si>
  <si>
    <t>C = ((1+r)^n-1)/(r(1+r)^n)</t>
  </si>
  <si>
    <t>L = expected lifespan of the asset</t>
  </si>
  <si>
    <t>r</t>
  </si>
  <si>
    <t>n</t>
  </si>
  <si>
    <t>L</t>
  </si>
  <si>
    <t>RCV</t>
  </si>
  <si>
    <t>Benefits</t>
  </si>
  <si>
    <t>Costs</t>
  </si>
  <si>
    <t>B/C Ratio</t>
  </si>
  <si>
    <t>RCV Factor (7%)</t>
  </si>
  <si>
    <t>RCV  (7%)</t>
  </si>
  <si>
    <t>2)</t>
  </si>
  <si>
    <t>1)</t>
  </si>
  <si>
    <t>Inputs</t>
  </si>
  <si>
    <t xml:space="preserve">Capital Cost </t>
  </si>
  <si>
    <t>Total Remaining Capital Value</t>
  </si>
  <si>
    <t>Build</t>
  </si>
  <si>
    <t>Recommended Value</t>
  </si>
  <si>
    <t>Total</t>
  </si>
  <si>
    <t>Years of Construction</t>
  </si>
  <si>
    <r>
      <t xml:space="preserve">Table 1 - Years of Construction </t>
    </r>
    <r>
      <rPr>
        <b/>
        <vertAlign val="superscript"/>
        <sz val="11"/>
        <color theme="1"/>
        <rFont val="Calibri"/>
        <family val="2"/>
        <scheme val="minor"/>
      </rPr>
      <t>1</t>
    </r>
  </si>
  <si>
    <t>Construction Year</t>
  </si>
  <si>
    <t>Table 2 - Construction Costs</t>
  </si>
  <si>
    <t>K</t>
  </si>
  <si>
    <t>A</t>
  </si>
  <si>
    <t>B</t>
  </si>
  <si>
    <t>C</t>
  </si>
  <si>
    <t>7% Discount Rate</t>
  </si>
  <si>
    <t>Truck Travel Time Cost</t>
  </si>
  <si>
    <t>PDO</t>
  </si>
  <si>
    <t>Table 1 - Analysis Timeframe Assumptions</t>
  </si>
  <si>
    <t>Benefit-Cost Final Year of Benefit</t>
  </si>
  <si>
    <t>Crash Severity</t>
  </si>
  <si>
    <t>Location</t>
  </si>
  <si>
    <t>Year</t>
  </si>
  <si>
    <r>
      <t>Constant Dollar RCV in (7%)</t>
    </r>
    <r>
      <rPr>
        <vertAlign val="superscript"/>
        <sz val="9"/>
        <color theme="1"/>
        <rFont val="Calibri"/>
        <family val="2"/>
        <scheme val="minor"/>
      </rPr>
      <t>2</t>
    </r>
  </si>
  <si>
    <r>
      <t>Present Value RCV in (7%)</t>
    </r>
    <r>
      <rPr>
        <vertAlign val="superscript"/>
        <sz val="9"/>
        <color theme="1"/>
        <rFont val="Calibri"/>
        <family val="2"/>
        <scheme val="minor"/>
      </rPr>
      <t>2</t>
    </r>
  </si>
  <si>
    <r>
      <t xml:space="preserve">Table 3 - Remaining Capital Value Factors </t>
    </r>
    <r>
      <rPr>
        <b/>
        <vertAlign val="superscript"/>
        <sz val="11"/>
        <color theme="1"/>
        <rFont val="Calibri"/>
        <family val="2"/>
        <scheme val="minor"/>
      </rPr>
      <t>2</t>
    </r>
  </si>
  <si>
    <t>NPV</t>
  </si>
  <si>
    <t>CAPITAL COST AND RESIDUAL PROJECT VALUE</t>
  </si>
  <si>
    <t>Residual capital value (RCV) was calculated for those capital purchases with lifetimes extending beyond the study period. Values were calculated using the following formula and were included as a benefit:
RCV = A*(B-C)/B
where:
A = (1+r)^n
B = ((1+r)^L-1)/(r(1+r)^L)
C = ((1+r)^n-1)/(r(1+r)^n)
and: n = analysis period, r = discount rate, L = service life</t>
  </si>
  <si>
    <t>Benefit-Cost First Year of Benefit</t>
  </si>
  <si>
    <t>Year(s)</t>
  </si>
  <si>
    <t>3)</t>
  </si>
  <si>
    <t>4)</t>
  </si>
  <si>
    <t>Base Year</t>
  </si>
  <si>
    <t>Locomotive Engineer</t>
  </si>
  <si>
    <t>Analysis Period Duration</t>
  </si>
  <si>
    <t>7 w 30-yr</t>
  </si>
  <si>
    <t>7 w 20-yr</t>
  </si>
  <si>
    <t>BCA Summary</t>
  </si>
  <si>
    <t>Total Costs</t>
  </si>
  <si>
    <t>Total RCV</t>
  </si>
  <si>
    <t>Idling fuel consumption (gal/hour)</t>
  </si>
  <si>
    <t>https://afdc.energy.gov/files/u/publication/hdv_idling_2015.pdf</t>
  </si>
  <si>
    <t>Annual tarp time savings (hours)</t>
  </si>
  <si>
    <t>Annual Operating Time Savings</t>
  </si>
  <si>
    <t>project amt</t>
  </si>
  <si>
    <t>salt shed1</t>
  </si>
  <si>
    <t>tech (cement) portion</t>
  </si>
  <si>
    <t>rail spur</t>
  </si>
  <si>
    <t>road work</t>
  </si>
  <si>
    <t>subtotal</t>
  </si>
  <si>
    <t>Expected Service Life</t>
  </si>
  <si>
    <t>NA</t>
  </si>
  <si>
    <t>Annual number of switches (1 per week for 40 weeks)</t>
  </si>
  <si>
    <t>Time per switch (hours)</t>
  </si>
  <si>
    <t>Engine cost per hour</t>
  </si>
  <si>
    <t>Annual labor cost</t>
  </si>
  <si>
    <t>Annual engine cost</t>
  </si>
  <si>
    <t>Number of engines per switch (trains)</t>
  </si>
  <si>
    <t>https://www.vtpi.org/tca/tca0502.pdf</t>
  </si>
  <si>
    <t>Year 2004 Euro to Dollar Conversion Rate</t>
  </si>
  <si>
    <t>Inflation rate from 2004 to 2018</t>
  </si>
  <si>
    <t>Annual Maintenance Costs for Rail Improvements</t>
  </si>
  <si>
    <t>Major Structures (salt shed)</t>
  </si>
  <si>
    <t>Rail</t>
  </si>
  <si>
    <t>Road Work and Pad</t>
  </si>
  <si>
    <t>7 w 12-yr</t>
  </si>
  <si>
    <t>Annual Maintenance Costs for Road and Pad Improvements</t>
  </si>
  <si>
    <t>https://projects.srfconsulting.com/Build/La_Crosse/ReportEconomicImpactofBicyclinginLaCrosse.pdf</t>
  </si>
  <si>
    <t>Project miles of proposed bikeway</t>
  </si>
  <si>
    <t>Regional miles of proposed bikeway</t>
  </si>
  <si>
    <t>1 bike crash of unknown severity between 2011-2019</t>
  </si>
  <si>
    <t>$60-$69 million in transit and air quality benefits (over 20 years)</t>
  </si>
  <si>
    <t>$27 million in economic and property benefits (over 20 years)</t>
  </si>
  <si>
    <t>Total regional benefit over 20 years</t>
  </si>
  <si>
    <t>Total Project</t>
  </si>
  <si>
    <t>Cost of crash of unknown severity</t>
  </si>
  <si>
    <t>CMF for installing a shared path</t>
  </si>
  <si>
    <t>http://www.cmfclearinghouse.org/detail.cfm?facid=9250</t>
  </si>
  <si>
    <t>Annual Cycling Benefits</t>
  </si>
  <si>
    <t>Annual Bicycle Crash Cost Savings</t>
  </si>
  <si>
    <t>CTH B AADT</t>
  </si>
  <si>
    <t>CTH B Truck Percentage</t>
  </si>
  <si>
    <t>2017 counts</t>
  </si>
  <si>
    <t>Google maps</t>
  </si>
  <si>
    <t>Additional Travel Distance from Diversion (miles)</t>
  </si>
  <si>
    <t>Additional Travel Time from Diversion (hrs)</t>
  </si>
  <si>
    <t>Percentage of traffic destined for WB I-90</t>
  </si>
  <si>
    <t>Table 2 - Vehicle Operating Cost per Mile</t>
  </si>
  <si>
    <t>Commercial Trucks</t>
  </si>
  <si>
    <t>Annual Intersection Crash Cost Savings</t>
  </si>
  <si>
    <t>CTH B and Clinton St</t>
  </si>
  <si>
    <t>CTH B and Fanta Reed Rd</t>
  </si>
  <si>
    <t>CMF for conversion of intersection to roundabout</t>
  </si>
  <si>
    <t>http://www.cmfclearinghouse.org/detail.cfm?facid=4924</t>
  </si>
  <si>
    <t>https://wisconsindot.gov/Pages/projects/data-plan/traf-counts/default.aspx</t>
  </si>
  <si>
    <t>Southeast</t>
  </si>
  <si>
    <t>Northeast</t>
  </si>
  <si>
    <t>2017 Counts</t>
  </si>
  <si>
    <t>Northwest</t>
  </si>
  <si>
    <t>Value of freight time for light goods vehicle (Euros per vehicle hour)</t>
  </si>
  <si>
    <t>Annual Vehicle Operating Cost Savings from Diversion</t>
  </si>
  <si>
    <t>Annual Truck Driver Travel Time Savings from Diversion</t>
  </si>
  <si>
    <t>Annual Freight Travel Time Savings from Diversion</t>
  </si>
  <si>
    <t>No Build vs. Build</t>
  </si>
  <si>
    <t>Total Project Summary</t>
  </si>
  <si>
    <t>Annual Savings from Rail Switches</t>
  </si>
  <si>
    <t>Operating time savings associated with covering and uncovering salt: the salt shed is expected to remove the need to cover and uncover salt piles each time loading occurs. This process utilizes roughly 250 man-hours of on-site freight staff per year.</t>
  </si>
  <si>
    <t>Sources</t>
  </si>
  <si>
    <t xml:space="preserve">Travel time savings from rail switches: tying the two rail switches would save one switch a week across forty weeks of the year. The reduction in rail switches results in reduced man-hours (three laborers per switch) and engine operating costs (two engines per switch). Rail switch information was provided by F.J. Robers Co, Inc., who runs the transload facility at the Harbor. </t>
  </si>
  <si>
    <t>5)</t>
  </si>
  <si>
    <r>
      <t>Table 1 - Per-hour Travel Time Cost by Mode</t>
    </r>
    <r>
      <rPr>
        <b/>
        <vertAlign val="superscript"/>
        <sz val="11"/>
        <color theme="1"/>
        <rFont val="Calibri"/>
        <family val="2"/>
        <scheme val="minor"/>
      </rPr>
      <t>5</t>
    </r>
  </si>
  <si>
    <t>crashes per year</t>
  </si>
  <si>
    <t>$194-$202 million in health benefits (over 20 years)</t>
  </si>
  <si>
    <t>Cycling health and air quality benefits: the addition of a shared path along CTH B will serve as a critical connection to greater areas of La Crosse County. Cycling benefits were produced through analysis performed in Cycle La Crosse, Economic Impact Analysis of a Better Bikeway Network . Cycling benefits were produced for the entirety of the proposed bike network:
o	$194-$202 million in health benefits (over 20 years)
o	$60-$69 million in transit and air quality benefits (over 20 years)
o	$27 million in economic and property benefits (over 20 years)
These benefits were prorated based on the number of bike facility miles proposed for 
CTH B (1.5 miles) compared to the total proposed bikeway network (40.2 miles). Economic and property benefits were excluded for the BCA and the lower of the two values for the ranges in health and transit/air quality benefits were used to keep the estimate of benefits conservative.</t>
  </si>
  <si>
    <t>Cycling crash cost reductions: the addition of a shared path is expected to lower the risk of bicycle/vehicle collisions. There was one such crash of unknown severity observed in the crash analysis timeframe from years 2011 through 2019. Reduction in crashes was estimated by applying a crash modification factor for a shared path obtained from CMF Clearinghouse (http://www.cmfclearinghouse.org/detail.cfm?facid=9250).</t>
  </si>
  <si>
    <t>Intersection crash cost reductions: changes in crashes by severity were also calculated at the intersections being converted to roundabouts. Five-year crash data from years 2015-2019 was collected at both locations to determine annual number of crashes by severity. Reductions in crashes were estimated by applying a crash modification factor for conversion of an intersection to a single-lane roundabout obtained from CMF Clearinghouse (http://www.cmfclearinghouse.org/detail.cfm?facid=4924).</t>
  </si>
  <si>
    <r>
      <t>Table 3 - Crash Costs by Severity</t>
    </r>
    <r>
      <rPr>
        <b/>
        <vertAlign val="superscript"/>
        <sz val="11"/>
        <color theme="1"/>
        <rFont val="Calibri"/>
        <family val="2"/>
        <scheme val="minor"/>
      </rPr>
      <t>5</t>
    </r>
  </si>
  <si>
    <r>
      <t>Table 6 - Shared Path Benefits</t>
    </r>
    <r>
      <rPr>
        <b/>
        <vertAlign val="superscript"/>
        <sz val="11"/>
        <color theme="1"/>
        <rFont val="Calibri"/>
        <family val="2"/>
        <scheme val="minor"/>
      </rPr>
      <t>1</t>
    </r>
  </si>
  <si>
    <r>
      <t>Table 5 - Crashes by Severity by Location (five year data from 2015-2019)</t>
    </r>
    <r>
      <rPr>
        <b/>
        <vertAlign val="superscript"/>
        <sz val="11"/>
        <color theme="1"/>
        <rFont val="Calibri"/>
        <family val="2"/>
        <scheme val="minor"/>
      </rPr>
      <t>3</t>
    </r>
  </si>
  <si>
    <t>Year 2017 AADTs</t>
  </si>
  <si>
    <t>I-90</t>
  </si>
  <si>
    <t>Clinton Street</t>
  </si>
  <si>
    <t>Operating cost and travel time reductions from freight diversion: based on recommendations provided by Las Crosse County maintenance staff, it was assumed that if the roadways are not reconstructed by year 2022 heavy commercial traffic would have to divert to the east on USH 53 to travel to/from the commercial shipping area on the south end of French Island. Diversion would only have an adverse effect on travel times and miles traveled for trips traveling to/from I-90 west of the project area. Thus, AADTs were collected using the WisDOT Traffic Count Map  on northwest, northeast, and southeast destinations from CTH B to determine the percentage of truck trips on CTH B that use I-90 west of the project area. Google Maps was then used to estimate the additional travel distance and travel time associated with the diversion to determine total benefits. Travel time savings were quantified separately for freight and the truck drivers. The value of freight travel time was obtained for light goods vehicles from Table 5.2.7-4 from Victoria Transport Policy Institute, Transportation Cost and Benefit Analysis II – Travel Time Costs.  Appropriate adjustments were made to covert the value of freight to year 2018 US dollars. Note that existing traffic volumes were used across all years of the BCA. This can be considered a conservative estimate of benefits assuming traffic volumes will likely grow over time.</t>
  </si>
  <si>
    <r>
      <t>Table 7 - Diversion Calculations</t>
    </r>
    <r>
      <rPr>
        <b/>
        <vertAlign val="superscript"/>
        <sz val="11"/>
        <color theme="1"/>
        <rFont val="Calibri"/>
        <family val="2"/>
        <scheme val="minor"/>
      </rPr>
      <t>4</t>
    </r>
  </si>
  <si>
    <r>
      <t>Table 4 - Safety Savings</t>
    </r>
    <r>
      <rPr>
        <b/>
        <vertAlign val="superscript"/>
        <sz val="11"/>
        <color theme="1"/>
        <rFont val="Calibri"/>
        <family val="2"/>
        <scheme val="minor"/>
      </rPr>
      <t>2</t>
    </r>
  </si>
  <si>
    <t xml:space="preserve">RAISE 2021 BCA Summary - La Crosse County - French Island Safety and Mobility Improvements </t>
  </si>
  <si>
    <t>Table 1 - Per-mile Travel Time Cost by Mode</t>
  </si>
  <si>
    <t>Bainbridge St/CTH B/Bainbridge St &amp; Washburn St/CTH B/Clinton St</t>
  </si>
  <si>
    <t>Peak</t>
  </si>
  <si>
    <t>Total Cost of Delay Per Year</t>
  </si>
  <si>
    <t>All Vehicle Delay (Hours Per Year)</t>
  </si>
  <si>
    <t>Auto Delay (Hours Per Year)</t>
  </si>
  <si>
    <t>Truck Delay (Hours Per Year)</t>
  </si>
  <si>
    <t>Total Entering Volume</t>
  </si>
  <si>
    <t>Delay/Vehicle (Seconds)</t>
  </si>
  <si>
    <t>Percent Heavy Vehicles</t>
  </si>
  <si>
    <t>Movement</t>
  </si>
  <si>
    <t>EBL</t>
  </si>
  <si>
    <t>EBT</t>
  </si>
  <si>
    <t>EBR</t>
  </si>
  <si>
    <t>WBL</t>
  </si>
  <si>
    <t>WBT</t>
  </si>
  <si>
    <t>WBR</t>
  </si>
  <si>
    <t>NBL</t>
  </si>
  <si>
    <t>NBT</t>
  </si>
  <si>
    <t>NBR</t>
  </si>
  <si>
    <t>SBL</t>
  </si>
  <si>
    <t>SBT</t>
  </si>
  <si>
    <t>SBR</t>
  </si>
  <si>
    <t>AM</t>
  </si>
  <si>
    <t>2020 Existing</t>
  </si>
  <si>
    <t>Turning Movement Volume</t>
  </si>
  <si>
    <t>2020 Build</t>
  </si>
  <si>
    <t>% Heavy vehicles</t>
  </si>
  <si>
    <t>PM</t>
  </si>
  <si>
    <t>All Vehicle Delay (Hours)</t>
  </si>
  <si>
    <t>Auto Delay (Autos)</t>
  </si>
  <si>
    <t>Truck Delay (Hours)</t>
  </si>
  <si>
    <t>2045 Existing</t>
  </si>
  <si>
    <t>2045 Build</t>
  </si>
  <si>
    <t>CTH B/Dawson Ave/Fanta Reed Rd &amp; CTH B/Fanta Reed Rd/Fanta Reed Pl</t>
  </si>
  <si>
    <t>Delay</t>
  </si>
  <si>
    <t>No-Build</t>
  </si>
  <si>
    <t>Condition</t>
  </si>
  <si>
    <t>All-Purpose Travel Time Cost (Assume Auto Occupancy = 1.67)</t>
  </si>
  <si>
    <t>Truck Travel Time Cost (Assume Truck Occupancy = 1)</t>
  </si>
  <si>
    <t>6)</t>
  </si>
  <si>
    <t>Annual Travel Time Savings  from Intersection Improvements</t>
  </si>
  <si>
    <r>
      <t>Table 8 - Intersection Delay Calculations</t>
    </r>
    <r>
      <rPr>
        <b/>
        <vertAlign val="superscript"/>
        <sz val="11"/>
        <color theme="1"/>
        <rFont val="Calibri"/>
        <family val="2"/>
        <scheme val="minor"/>
      </rPr>
      <t>5,6</t>
    </r>
  </si>
  <si>
    <t>Annual Cost</t>
  </si>
  <si>
    <t>Vehicle Operating Cost per Mile - Electric Bus (per mile)</t>
  </si>
  <si>
    <t>Miles Traveled by Bus per Day</t>
  </si>
  <si>
    <t>Days in Service (Per Year)</t>
  </si>
  <si>
    <t>Annual Operating Cost - Electric</t>
  </si>
  <si>
    <t>ENVIRONMENTAL SUSTAINABILITY - AIR QUALITY</t>
  </si>
  <si>
    <t>CO2 Savings Estimations</t>
  </si>
  <si>
    <t>Other Emissions Cost Savings</t>
  </si>
  <si>
    <t>Total (Carbon + Other Emissions)</t>
  </si>
  <si>
    <r>
      <t>Change in C02</t>
    </r>
    <r>
      <rPr>
        <vertAlign val="superscript"/>
        <sz val="9"/>
        <color theme="1"/>
        <rFont val="Calibri"/>
        <family val="2"/>
        <scheme val="minor"/>
      </rPr>
      <t>3</t>
    </r>
    <r>
      <rPr>
        <sz val="9"/>
        <color theme="1"/>
        <rFont val="Calibri"/>
        <family val="2"/>
        <scheme val="minor"/>
      </rPr>
      <t xml:space="preserve"> (metric tons)</t>
    </r>
  </si>
  <si>
    <r>
      <t xml:space="preserve">Yearly Emissions Savings Without Carbon in Current Dollars ($) </t>
    </r>
    <r>
      <rPr>
        <vertAlign val="superscript"/>
        <sz val="9"/>
        <color theme="1"/>
        <rFont val="Calibri"/>
        <family val="2"/>
        <scheme val="minor"/>
      </rPr>
      <t>2</t>
    </r>
  </si>
  <si>
    <t>3% Discount</t>
  </si>
  <si>
    <t>Change in Annual Network VMT</t>
  </si>
  <si>
    <r>
      <t>Change in NOx 
(metric tons)</t>
    </r>
    <r>
      <rPr>
        <vertAlign val="superscript"/>
        <sz val="9"/>
        <color theme="1"/>
        <rFont val="Calibri"/>
        <family val="2"/>
        <scheme val="minor"/>
      </rPr>
      <t>1</t>
    </r>
  </si>
  <si>
    <r>
      <t>Change in SO2
(metric tons)</t>
    </r>
    <r>
      <rPr>
        <vertAlign val="superscript"/>
        <sz val="9"/>
        <color theme="1"/>
        <rFont val="Calibri"/>
        <family val="2"/>
        <scheme val="minor"/>
      </rPr>
      <t>1</t>
    </r>
  </si>
  <si>
    <r>
      <t>Change in PM
(metric tons)</t>
    </r>
    <r>
      <rPr>
        <vertAlign val="superscript"/>
        <sz val="9"/>
        <color theme="1"/>
        <rFont val="Calibri"/>
        <family val="2"/>
        <scheme val="minor"/>
      </rPr>
      <t>1</t>
    </r>
  </si>
  <si>
    <r>
      <t>Change in NOx 
($)</t>
    </r>
    <r>
      <rPr>
        <vertAlign val="superscript"/>
        <sz val="9"/>
        <color theme="1"/>
        <rFont val="Calibri"/>
        <family val="2"/>
        <scheme val="minor"/>
      </rPr>
      <t>(2)</t>
    </r>
  </si>
  <si>
    <r>
      <t>Change in PM
($)</t>
    </r>
    <r>
      <rPr>
        <vertAlign val="superscript"/>
        <sz val="9"/>
        <color theme="1"/>
        <rFont val="Calibri"/>
        <family val="2"/>
        <scheme val="minor"/>
      </rPr>
      <t>(2)</t>
    </r>
  </si>
  <si>
    <r>
      <t xml:space="preserve">Yearly Emissions Savings in Current Dollars ($) </t>
    </r>
    <r>
      <rPr>
        <vertAlign val="superscript"/>
        <sz val="9"/>
        <color theme="1"/>
        <rFont val="Calibri"/>
        <family val="2"/>
        <scheme val="minor"/>
      </rPr>
      <t>(2)</t>
    </r>
  </si>
  <si>
    <t>Subtotal</t>
  </si>
  <si>
    <t xml:space="preserve"> 7%Discounted</t>
  </si>
  <si>
    <r>
      <t xml:space="preserve">Table 1 - Pollution Emission by Mode (g/VMT) </t>
    </r>
    <r>
      <rPr>
        <b/>
        <vertAlign val="superscript"/>
        <sz val="11"/>
        <color theme="1"/>
        <rFont val="Calibri"/>
        <family val="2"/>
        <scheme val="minor"/>
      </rPr>
      <t>(1)</t>
    </r>
  </si>
  <si>
    <t>MOVES Model Output (grams per VMT)</t>
  </si>
  <si>
    <t>Mode</t>
  </si>
  <si>
    <t>NOX</t>
  </si>
  <si>
    <t>SO2</t>
  </si>
  <si>
    <t>PM2.5</t>
  </si>
  <si>
    <t>CO2</t>
  </si>
  <si>
    <t>Source Type</t>
  </si>
  <si>
    <t>HPMS Description</t>
  </si>
  <si>
    <t>Auto/Truck</t>
  </si>
  <si>
    <t>Automobile</t>
  </si>
  <si>
    <t>Motorcycle</t>
  </si>
  <si>
    <t>Auto</t>
  </si>
  <si>
    <t>Trucks</t>
  </si>
  <si>
    <t>Light-Duty Vehicle</t>
  </si>
  <si>
    <r>
      <t xml:space="preserve">Table 2 - Damage Costs for Emissions per metric ton </t>
    </r>
    <r>
      <rPr>
        <b/>
        <vertAlign val="superscript"/>
        <sz val="11"/>
        <color theme="1"/>
        <rFont val="Calibri"/>
        <family val="2"/>
        <scheme val="minor"/>
      </rPr>
      <t>(2)</t>
    </r>
  </si>
  <si>
    <t>Buses</t>
  </si>
  <si>
    <t>Truck</t>
  </si>
  <si>
    <t>Single-Unit Truck</t>
  </si>
  <si>
    <t>Combination Truck</t>
  </si>
  <si>
    <t>Emission costs were obtained from Benefit-Cost Analysis Guidance for Discretionary Grant Programs - February 2021.</t>
  </si>
  <si>
    <t>*Damage costs for emissions in years beyond 2050 assume costs provided for year 2050.</t>
  </si>
  <si>
    <t>https://uspirg.org/sites/pirg/files/reports/ElectricBusesInAmerica/US_Electric_bus_scrn.pdf</t>
  </si>
  <si>
    <t>Annual Travel Time Savings for Providing Bottled Water Service</t>
  </si>
  <si>
    <t xml:space="preserve">Emission rates were obtained from the Environmental Protection Agency’s Motor Vehicle Emission Simulator (MOVES) version 3. The change in VMT between No Build and Build conditions derived from impacts of the elimination of need to provide bottled water service after the completion of. The change in VMT by year was applied to emission rates by vehicle type. </t>
  </si>
  <si>
    <t>http://onlinepubs.trb.org/onlinepubs/webinars/180913.pdf</t>
  </si>
  <si>
    <t>WTP</t>
  </si>
  <si>
    <t>Value per Mbps per resident</t>
  </si>
  <si>
    <t>Existing Speed (Mbps)</t>
  </si>
  <si>
    <t>Proposed Speed (Mbps)</t>
  </si>
  <si>
    <t>Discounted Fiber Savings</t>
  </si>
  <si>
    <t xml:space="preserve">Total </t>
  </si>
  <si>
    <r>
      <t>Table 1 - Crash Costs by Severity</t>
    </r>
    <r>
      <rPr>
        <b/>
        <vertAlign val="superscript"/>
        <sz val="11"/>
        <color theme="1"/>
        <rFont val="Calibri"/>
        <family val="2"/>
        <scheme val="minor"/>
      </rPr>
      <t>1</t>
    </r>
  </si>
  <si>
    <t>Type</t>
  </si>
  <si>
    <t>Ped</t>
  </si>
  <si>
    <t>Weeks per Year</t>
  </si>
  <si>
    <t>Hours Worked Per Week</t>
  </si>
  <si>
    <t>https://www.modot.org/sites/default/files/documents/AppendixC1_BCA_TechnicalReport_I-44.pdf</t>
  </si>
  <si>
    <t>Table 1 - Pollution Emission for LDDT (gram per hour idle)</t>
  </si>
  <si>
    <t>Change in Annual Idle Time (hour)</t>
  </si>
  <si>
    <t>Data Not Available</t>
  </si>
  <si>
    <t>Number of Boat Slips</t>
  </si>
  <si>
    <t>Annual Travel Time Savings Boat Slip</t>
  </si>
  <si>
    <t>Pier</t>
  </si>
  <si>
    <t>B: Bainbridge Street/County Highway B/Dawson Avenue/Fanta Reed Road Improvements</t>
  </si>
  <si>
    <t>EV Charging Station</t>
  </si>
  <si>
    <t>Capital Costs (2019$)</t>
  </si>
  <si>
    <t>Fiber Optic Connection</t>
  </si>
  <si>
    <t>Users</t>
  </si>
  <si>
    <t>Sidewalk</t>
  </si>
  <si>
    <t>Watermain</t>
  </si>
  <si>
    <t>C: La Crosse Regional Airport Improvements</t>
  </si>
  <si>
    <t>D: EV Station</t>
  </si>
  <si>
    <t>E: Fiber Optic Connection</t>
  </si>
  <si>
    <t xml:space="preserve">F: Copeland Park Sidewalk Installation </t>
  </si>
  <si>
    <t>Fuel savings due to reduced truck idling: truck drivers will also accrue vehicle operating cost savings as a result of the salt shed and other congestion reducing improvements. The improvements are expected to save each truck an average of ten minutes while on site. At 26,000 trucks per year, this results in 4,334 hours of reduced truck idling time at the harbor each year. Idling fuel consumption was obtained from the U.S Department of Energy, Energy Efficiency and Renewable Energy . Diesel cost per gallon in year 2019 dollars was obtained from the U.S. Energy Information Administration .</t>
  </si>
  <si>
    <t>User travel time benefits and operating costs were valued in accordance with the Benefit-Cost Analysis Guidance for Discretionary Grant Programs - February 2021 (https://www.transportation.gov/sites/dot.gov/files/2021-02/Benefit%20Cost%20Analysis%20Guidance%202021.pdf).</t>
  </si>
  <si>
    <t>https://files.dnr.state.mn.us/aboutdnr/reports/boating/mississippi2003.pdf</t>
  </si>
  <si>
    <t>Assume average user takes 1 trip per week in boating season (May to September)</t>
  </si>
  <si>
    <t>Boat Trips/Year (Per User)</t>
  </si>
  <si>
    <t>Non-Quantified Benefits:</t>
  </si>
  <si>
    <r>
      <t>·</t>
    </r>
    <r>
      <rPr>
        <sz val="7"/>
        <color theme="1"/>
        <rFont val="Times New Roman"/>
        <family val="1"/>
      </rPr>
      <t xml:space="preserve">         </t>
    </r>
    <r>
      <rPr>
        <sz val="11"/>
        <color theme="1"/>
        <rFont val="Calibri"/>
        <family val="2"/>
        <scheme val="minor"/>
      </rPr>
      <t>Environmental Impacts: Reduced Erosion and Spread of Invasive Species at Boat Launch</t>
    </r>
  </si>
  <si>
    <t>This analysis assumed construction would take place in year 2022. Initial capital costs were brought back to 2019 dollars to determine present value.</t>
  </si>
  <si>
    <t>"Waiting, Standing &amp; Transfer Time" (minutes): Set up Trailer, Launch/Load Boat, Remove Trailer (Including Parking)</t>
  </si>
  <si>
    <r>
      <t>·</t>
    </r>
    <r>
      <rPr>
        <sz val="7"/>
        <color theme="1"/>
        <rFont val="Times New Roman"/>
        <family val="1"/>
      </rPr>
      <t xml:space="preserve">         </t>
    </r>
    <r>
      <rPr>
        <sz val="11"/>
        <color theme="1"/>
        <rFont val="Calibri"/>
        <family val="2"/>
        <scheme val="minor"/>
      </rPr>
      <t>Quality of Life:</t>
    </r>
    <r>
      <rPr>
        <b/>
        <u/>
        <sz val="11"/>
        <color theme="1"/>
        <rFont val="Calibri"/>
        <family val="2"/>
        <scheme val="minor"/>
      </rPr>
      <t xml:space="preserve"> “Sense of Place” – Explore La Crosse</t>
    </r>
  </si>
  <si>
    <r>
      <t>·</t>
    </r>
    <r>
      <rPr>
        <sz val="7"/>
        <color theme="1"/>
        <rFont val="Times New Roman"/>
        <family val="1"/>
      </rPr>
      <t xml:space="preserve">         </t>
    </r>
    <r>
      <rPr>
        <sz val="11"/>
        <color theme="1"/>
        <rFont val="Calibri"/>
        <family val="2"/>
        <scheme val="minor"/>
      </rPr>
      <t>Improved Safety &amp; Operations at Nearby Public Boat Launches</t>
    </r>
  </si>
  <si>
    <r>
      <t>·</t>
    </r>
    <r>
      <rPr>
        <sz val="7"/>
        <color theme="1"/>
        <rFont val="Times New Roman"/>
        <family val="1"/>
      </rPr>
      <t xml:space="preserve">         </t>
    </r>
    <r>
      <rPr>
        <sz val="11"/>
        <color theme="1"/>
        <rFont val="Calibri"/>
        <family val="2"/>
        <scheme val="minor"/>
      </rPr>
      <t>Vehicle Operating Cost &amp; Reduced Emissions Associated with Not Towing Boats to Site</t>
    </r>
  </si>
  <si>
    <t>Average Mississippi River Boating Party Size (people/boat) - Localized Data from DNR</t>
  </si>
  <si>
    <t>Hourly Savings Associated with "Waiting, Standing &amp; Transfer Time" - U.S. DOT Recommended Values</t>
  </si>
  <si>
    <t>G: Copeland Park Pier Benefits</t>
  </si>
  <si>
    <t>This analysis assumed construction would take place in year 2021. Initial capital costs were brought back to 2019 dollars to determine present value.</t>
  </si>
  <si>
    <t>Vehicle Operating Cost per Mile - Diesel Bus (per mile)</t>
  </si>
  <si>
    <t>Annual Operating Cost - Diesel</t>
  </si>
  <si>
    <t>Annual Reduction in Vehicle Operating Costs Diesel vs Electric</t>
  </si>
  <si>
    <t>Annual Safety Benefits from Construction of Sidewalk</t>
  </si>
  <si>
    <t>Inflation Adjustment Value (2018 to 2019)</t>
  </si>
  <si>
    <t>US DOT Guidance</t>
  </si>
  <si>
    <t>Carbon emission costs were obtained from Benefit-Cost Analysis Guidance for Discretionary Grant Programs - February 2021.</t>
  </si>
  <si>
    <t>Source</t>
  </si>
  <si>
    <t>Local Cost of Jet Fuel (per gallon)</t>
  </si>
  <si>
    <t>Passengers Landing at Entire Airport (per year)</t>
  </si>
  <si>
    <t>Length of Reduce Taxi Travel Distance (per flight in feet)</t>
  </si>
  <si>
    <t>Population</t>
  </si>
  <si>
    <t>https://ridesmrt.com/</t>
  </si>
  <si>
    <t>Source of CMF:</t>
  </si>
  <si>
    <t>https://www.oregon.gov/ODOT/Engineering/Docs_TrafficEng/CRF-Appendix.pdf</t>
  </si>
  <si>
    <t>Growth Rate</t>
  </si>
  <si>
    <t>Annual Savings in Truck Operating Costs</t>
  </si>
  <si>
    <t>Cost of Idling Per Hour</t>
  </si>
  <si>
    <t>Taxiway</t>
  </si>
  <si>
    <t>https://www.eia.gov/environment/emissions/co2_vol_mass.php</t>
  </si>
  <si>
    <t>Carbon Dioxide Emissions Kilograms per gallon Gas</t>
  </si>
  <si>
    <t>Carbon Dioxide Emissions per gallon Jet Fuel (kilogram)</t>
  </si>
  <si>
    <t>https://wisconsindot.gov/Documents/projects/multimodal/air/atw-eis.pdf</t>
  </si>
  <si>
    <t>H: Town of Campbell Watermain Infrastructure</t>
  </si>
  <si>
    <t xml:space="preserve">Emission rates were obtained from the Environmental Protection Agency’s Motor Vehicle Emission Simulator (MOVES) version 3. The change in VMT between No Build and Build conditions are derived from impact of the EV charging station which enables operation of the S.M.R.T. Green Line (Changes Diesel Bus Services to EV Bus Services). The change in VMT by year was applied to emission rates by vehicle type. </t>
  </si>
  <si>
    <t>Demurrage Cost Savings</t>
  </si>
  <si>
    <t>Annual Demurrage Costs from Loss of Salt</t>
  </si>
  <si>
    <t>Due to the open design of the salt piles, annual demurrage costs from a loss of salt (blowing into the river or to other locations away from the piles) are approximately $180,000. With construction of the salt shed, these demurrage costs are expected to be mitigated.</t>
  </si>
  <si>
    <r>
      <t>Table 2 - Reduction in Person Operating Hours</t>
    </r>
    <r>
      <rPr>
        <b/>
        <vertAlign val="superscript"/>
        <sz val="11"/>
        <color theme="1"/>
        <rFont val="Calibri"/>
        <family val="2"/>
        <scheme val="minor"/>
      </rPr>
      <t>1</t>
    </r>
  </si>
  <si>
    <t>Table 3 - Demurrage Costs</t>
  </si>
  <si>
    <r>
      <t>Table 4 - Travel Time and Operating Cost Savings due to Rail Switches</t>
    </r>
    <r>
      <rPr>
        <b/>
        <vertAlign val="superscript"/>
        <sz val="11"/>
        <color theme="1"/>
        <rFont val="Calibri"/>
        <family val="2"/>
        <scheme val="minor"/>
      </rPr>
      <t>4</t>
    </r>
  </si>
  <si>
    <t>User travel time and safety benefits were valued in accordance with the Benefit-Cost Analysis Guidance for Discretionary Grant Programs - February 2021. (https://cms8.dot.gov/sites/dot.gov/files/2020-01/benefit-cost-analysis-guidance-2020_0.pdf). The recommended values for travel time were provided in year 2019 dollars.</t>
  </si>
  <si>
    <t>No Build</t>
  </si>
  <si>
    <t>Intersection delay calculations were determined using data and assumptions outlined in the Clinton Street to Lakeshore Drive Traffic &amp; Safety Study (March 2021), which is attached to the BCA Memo.</t>
  </si>
  <si>
    <t>Jet Fuel Savings Per Year (gallons)</t>
  </si>
  <si>
    <t>Value of passenger travel time was obtained from the Airport Cooperative Research Program (Page 12 of http://onlinepubs.trb.org/onlinepubs/webinars/180913.pdf). Values were inflated to year 2019 dollars using the GDP price deflators provided in the USDOT BCA guidance.</t>
  </si>
  <si>
    <r>
      <t>Value of Passenger Time per Hour (2018)</t>
    </r>
    <r>
      <rPr>
        <vertAlign val="superscript"/>
        <sz val="11"/>
        <color theme="1"/>
        <rFont val="Calibri"/>
        <family val="2"/>
        <scheme val="minor"/>
      </rPr>
      <t>2</t>
    </r>
  </si>
  <si>
    <t>page 18</t>
  </si>
  <si>
    <t>This analysis assumed construction would take place in years 2021 and 2022. Initial capital costs were brought back to 2019 dollars to determine present value.</t>
  </si>
  <si>
    <t>page 5</t>
  </si>
  <si>
    <t>This analysis assumed construction would take place in years 2020 through 2022. Initial capital costs were brought back to 2019 dollars to determine present value.</t>
  </si>
  <si>
    <t>page 1</t>
  </si>
  <si>
    <r>
      <t>Change in SO2 
($)</t>
    </r>
    <r>
      <rPr>
        <vertAlign val="superscript"/>
        <sz val="9"/>
        <color theme="1"/>
        <rFont val="Calibri"/>
        <family val="2"/>
        <scheme val="minor"/>
      </rPr>
      <t>(2)</t>
    </r>
  </si>
  <si>
    <t>Vehicle Miles Traveled calculations were used to determine emissions savings. Emission rates were obtained from the Environmental Protection Agency’s Motor Vehicle Emission Simulator (MOVES) version 3 . The change in VMT between No Build and Build conditions are derived from impact of the EV charging station which enables operation of the S.M.R.T. Green Line (Changes Diesel Bus Services to EV Bus Services). The Green Line Runs 254 days per year and travels a total of 303 miles each day . The change in VMT was applied to emission rates by vehicle type.</t>
  </si>
  <si>
    <t xml:space="preserve">Savings Associated with Reduction in Vehicle Operating Costs: Annual Reduction in Vehicle Operating Costs Diesel vs Electric Bus Service. A case study of a University in South Carolina’s bus network noted the vehicle operating costs per mile in their diesel fleet to be $1.53/mile. The vehicle operating cost of a vehicle in the Electric Fleet was noted to be $0.55/mile </t>
  </si>
  <si>
    <r>
      <t>Table 3 - La Crosse County Population - U.S. Decennial Census Data</t>
    </r>
    <r>
      <rPr>
        <b/>
        <vertAlign val="superscript"/>
        <sz val="11"/>
        <color theme="1"/>
        <rFont val="Calibri"/>
        <family val="2"/>
        <scheme val="minor"/>
      </rPr>
      <t>2</t>
    </r>
  </si>
  <si>
    <t>Travel Time Savings associated with "Waiting, Standing &amp; Transfer Time" and the time savings associated with the inter-modal transfer time at boat launches due to the construction of 24 new boat slips. The Hourly Value of Travel Time Savings associated with "Waiting, Standing &amp; Transfer Time" of $33.00 per hour were valued in accordance with the Benefit-Cost Analysis Guidance for Discretionary Grant Programs - February 2021. Localized data on boat occupancy obtained from the DNR suggests the Average Mississippi River Boating Party size is 2.9 people per boat .</t>
  </si>
  <si>
    <t>Elimination of Need to Provide Bottled Water Service: Eliminates costs associated with providing bottled water service for residents ($565,000 Annually).</t>
  </si>
  <si>
    <t>Travel Time Savings: reduction in Truck Travel Time associated with need to provide bottled water service: 1 Driver works 40 hours per week, 52 weeks per year to deliver bottled water service to residents in the town of Campbell.</t>
  </si>
  <si>
    <t xml:space="preserve">Annual Operating Cost Savings: reduction in Truck Travel Time associated with need to provide bottled water service: 1 Driver works 40 hours per week, 52 weeks per year to deliver bottled water service to residents in the town of Campbell. The operating cost for the tuck idling was $22.65 per hour. </t>
  </si>
  <si>
    <t xml:space="preserve">Annual Cost of Providing Bottled Water Service </t>
  </si>
  <si>
    <t>A: Harbor Improvements</t>
  </si>
  <si>
    <t>G: Copeland Park Pier</t>
  </si>
  <si>
    <r>
      <t>Table 1 - Airport Related Data</t>
    </r>
    <r>
      <rPr>
        <b/>
        <vertAlign val="superscript"/>
        <sz val="11"/>
        <color theme="1"/>
        <rFont val="Calibri"/>
        <family val="2"/>
        <scheme val="minor"/>
      </rPr>
      <t>1,2</t>
    </r>
  </si>
  <si>
    <t>Annual Fuel Savings Associated with Taxiway Improvements</t>
  </si>
  <si>
    <t>Assumed Percentage of Passengers Using Improved Taxiway</t>
  </si>
  <si>
    <t>Savings in Taxi Time per Flight Using Improved Taxiway (minutes)</t>
  </si>
  <si>
    <t>Table 2 - Annual Travel Time Savings from Taxiway Improvements</t>
  </si>
  <si>
    <t>Table 3 - Annual Fuel Savings from Taxiway Improvements</t>
  </si>
  <si>
    <t>Passenger, flight, fuel, and Taxiway-related information were provided by La Crosse Regional Airport staff.</t>
  </si>
  <si>
    <t>Annual Travel Time Savings Associated with Taxiway Improvements</t>
  </si>
  <si>
    <r>
      <t xml:space="preserve">Kilograms of Carbon per Gallon of Jet Fuel - </t>
    </r>
    <r>
      <rPr>
        <u/>
        <sz val="11"/>
        <color theme="3"/>
        <rFont val="Calibri"/>
        <family val="2"/>
        <scheme val="minor"/>
      </rPr>
      <t>https://www.eia.gov/environment/emissions/co2_vol_mass.php</t>
    </r>
  </si>
  <si>
    <r>
      <t>Table 1 - Electric Vehicle Charging Station Related Data</t>
    </r>
    <r>
      <rPr>
        <b/>
        <vertAlign val="superscript"/>
        <sz val="11"/>
        <color theme="1"/>
        <rFont val="Calibri"/>
        <family val="2"/>
        <scheme val="minor"/>
      </rPr>
      <t>1,2</t>
    </r>
  </si>
  <si>
    <t>Table 1 - Annual Reduction in Vehicle Operating Costs Diesel vs Electric</t>
  </si>
  <si>
    <r>
      <t xml:space="preserve">Table 1 - Fiber Optic Related Data </t>
    </r>
    <r>
      <rPr>
        <b/>
        <vertAlign val="superscript"/>
        <sz val="11"/>
        <color theme="1"/>
        <rFont val="Calibri"/>
        <family val="2"/>
        <scheme val="minor"/>
      </rPr>
      <t>1,2</t>
    </r>
  </si>
  <si>
    <t>*Application of Multiplier Effect  (per 2015 Wisconsin DOT Economic Impact Study)</t>
  </si>
  <si>
    <t>Users*</t>
  </si>
  <si>
    <t>Internet Speed and User Data was obtained from information were provided by La Crosse Regional Airport staff.</t>
  </si>
  <si>
    <t>Table 3 - Applied Crash Modification Factor</t>
  </si>
  <si>
    <t>Table 2 - Crashes History by Severity (five year data from 2015-2019)</t>
  </si>
  <si>
    <t xml:space="preserve">Safety Benefits: Reduced pedestrian crashes after installation of sidewalk. Crash Modifications Factors  were applied to applicable crashes in the project area. Crash cost assumptions for the KABCO scale are consistent with values and methodologies published in the Benefit Cost Analysis Guidance for Discretionary Grant Programs, dated February 2021. </t>
  </si>
  <si>
    <t>The safety benefit was quantified for years 2021 and 2040 and interpolated based on an annual growth rate derived from U.S. Decennial Census Data for La Crosse County</t>
  </si>
  <si>
    <t>Table 4 - Annual Crash Cost Calculations</t>
  </si>
  <si>
    <t>Source:</t>
  </si>
  <si>
    <t>https://www.census.gov/quickfacts/lacrossecountywisconsin</t>
  </si>
  <si>
    <t>Factor: BP29 - Page 18</t>
  </si>
  <si>
    <r>
      <t>Table 2 - Annual Travel Time Savings Boat Slip</t>
    </r>
    <r>
      <rPr>
        <b/>
        <vertAlign val="superscript"/>
        <sz val="11"/>
        <color theme="1"/>
        <rFont val="Calibri"/>
        <family val="2"/>
        <scheme val="minor"/>
      </rPr>
      <t>1</t>
    </r>
  </si>
  <si>
    <t>Table 1 - General Boat Data and Assumptions</t>
  </si>
  <si>
    <t>Annual Savings in Bottled Water Service</t>
  </si>
  <si>
    <t>Table 1 - Water Service Data</t>
  </si>
  <si>
    <r>
      <t>Table 2 - Annual Cost of Providing Bottled Water Service Service</t>
    </r>
    <r>
      <rPr>
        <b/>
        <vertAlign val="superscript"/>
        <sz val="11"/>
        <color theme="1"/>
        <rFont val="Calibri"/>
        <family val="2"/>
        <scheme val="minor"/>
      </rPr>
      <t>1</t>
    </r>
  </si>
  <si>
    <t>Table 3 - Annual Cost Associated with Truck Travel Time</t>
  </si>
  <si>
    <t>Table 4 - Annual Savings in Truck Operating Costs</t>
  </si>
  <si>
    <t>FIBER CONNECTIVITY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</si>
</sst>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_(&quot;$&quot;* #,##0_);_(&quot;$&quot;* \(#,##0\);_(&quot;$&quot;* &quot;-&quot;??_);_(@_)"/>
    <numFmt numFmtId="166" formatCode="&quot;$&quot;#,##0\ ;\(&quot;$&quot;#,##0\)"/>
    <numFmt numFmtId="167" formatCode="_(* #,##0_);_(* \(#,##0\);_(* &quot;-&quot;??_);_(@_)"/>
    <numFmt numFmtId="168" formatCode="&quot;$&quot;#,##0.00"/>
    <numFmt numFmtId="169" formatCode="0.000"/>
    <numFmt numFmtId="170" formatCode="0.0"/>
    <numFmt numFmtId="171" formatCode="&quot;$&quot;#,##0.0"/>
    <numFmt numFmtId="172" formatCode="#,##0.0000"/>
    <numFmt numFmtId="173" formatCode="0.0000"/>
    <numFmt numFmtId="174" formatCode="#,##0.000"/>
    <numFmt numFmtId="175" formatCode="&quot;$&quot;#,##0.0_);[Red]\(&quot;$&quot;#,##0.0\)"/>
  </numFmts>
  <fonts count="34"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vertAlign val="superscript"/>
      <sz val="9"/>
      <color theme="1"/>
      <name val="Calibri"/>
      <family val="2"/>
      <scheme val="minor"/>
    </font>
    <font>
      <sz val="10"/>
      <name val="Arial"/>
      <family val="2"/>
    </font>
    <font>
      <b/>
      <sz val="9"/>
      <name val="Calibri"/>
      <family val="2"/>
      <scheme val="minor"/>
    </font>
    <font>
      <sz val="9"/>
      <name val="Calibri"/>
      <family val="2"/>
      <scheme val="minor"/>
    </font>
    <font>
      <b/>
      <sz val="12"/>
      <color theme="1"/>
      <name val="Calibri"/>
      <family val="2"/>
      <scheme val="minor"/>
    </font>
    <font>
      <sz val="11"/>
      <color theme="0" tint="-0.249977111117893"/>
      <name val="Calibri"/>
      <family val="2"/>
      <scheme val="minor"/>
    </font>
    <font>
      <sz val="11"/>
      <name val="Arial Narrow"/>
      <family val="2"/>
    </font>
    <font>
      <b/>
      <sz val="18"/>
      <color theme="1"/>
      <name val="Calibri"/>
      <family val="2"/>
      <scheme val="minor"/>
    </font>
    <font>
      <b/>
      <vertAlign val="superscript"/>
      <sz val="11"/>
      <color theme="1"/>
      <name val="Calibri"/>
      <family val="2"/>
      <scheme val="minor"/>
    </font>
    <font>
      <sz val="11"/>
      <color rgb="FF00B0F0"/>
      <name val="Calibri"/>
      <family val="2"/>
      <scheme val="minor"/>
    </font>
    <font>
      <sz val="11"/>
      <color indexed="8"/>
      <name val="Calibri"/>
      <family val="2"/>
      <scheme val="minor"/>
    </font>
    <font>
      <u/>
      <sz val="11"/>
      <color theme="10"/>
      <name val="Calibri"/>
      <family val="2"/>
      <scheme val="minor"/>
    </font>
    <font>
      <sz val="11"/>
      <color rgb="FFFF0000"/>
      <name val="Calibri"/>
      <family val="2"/>
      <scheme val="minor"/>
    </font>
    <font>
      <sz val="11"/>
      <color rgb="FF00B050"/>
      <name val="Calibri"/>
      <family val="2"/>
      <scheme val="minor"/>
    </font>
    <font>
      <b/>
      <u/>
      <sz val="11"/>
      <color theme="1"/>
      <name val="Calibri"/>
      <family val="2"/>
      <scheme val="minor"/>
    </font>
    <font>
      <u/>
      <sz val="11"/>
      <color theme="1"/>
      <name val="Calibri"/>
      <family val="2"/>
      <scheme val="minor"/>
    </font>
    <font>
      <sz val="11"/>
      <color rgb="FF9C0006"/>
      <name val="Calibri"/>
      <family val="2"/>
      <scheme val="minor"/>
    </font>
    <font>
      <sz val="11"/>
      <name val="Calibri"/>
      <family val="2"/>
      <scheme val="minor"/>
    </font>
    <font>
      <b/>
      <sz val="11"/>
      <name val="Calibri"/>
      <family val="2"/>
      <scheme val="minor"/>
    </font>
    <font>
      <sz val="9"/>
      <color rgb="FFFF0000"/>
      <name val="Calibri"/>
      <family val="2"/>
      <scheme val="minor"/>
    </font>
    <font>
      <sz val="11"/>
      <color rgb="FF9C5700"/>
      <name val="Calibri"/>
      <family val="2"/>
      <scheme val="minor"/>
    </font>
    <font>
      <sz val="11"/>
      <color theme="1"/>
      <name val="Symbol"/>
      <family val="1"/>
      <charset val="2"/>
    </font>
    <font>
      <sz val="7"/>
      <color theme="1"/>
      <name val="Times New Roman"/>
      <family val="1"/>
    </font>
    <font>
      <sz val="22"/>
      <color rgb="FFFF0000"/>
      <name val="Calibri"/>
      <family val="2"/>
      <scheme val="minor"/>
    </font>
    <font>
      <u/>
      <sz val="8"/>
      <color theme="10"/>
      <name val="Calibri"/>
      <family val="2"/>
      <scheme val="minor"/>
    </font>
    <font>
      <vertAlign val="superscript"/>
      <sz val="11"/>
      <color theme="1"/>
      <name val="Calibri"/>
      <family val="2"/>
      <scheme val="minor"/>
    </font>
    <font>
      <sz val="8"/>
      <name val="Calibri"/>
      <family val="2"/>
      <scheme val="minor"/>
    </font>
    <font>
      <u/>
      <sz val="11"/>
      <name val="Calibri"/>
      <family val="2"/>
      <scheme val="minor"/>
    </font>
    <font>
      <u/>
      <sz val="11"/>
      <color theme="3"/>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1"/>
        <bgColor indexed="64"/>
      </patternFill>
    </fill>
    <fill>
      <patternFill patternType="solid">
        <fgColor rgb="FFFFC7CE"/>
      </patternFill>
    </fill>
    <fill>
      <patternFill patternType="solid">
        <fgColor theme="0" tint="-0.34998626667073579"/>
        <bgColor indexed="64"/>
      </patternFill>
    </fill>
    <fill>
      <patternFill patternType="solid">
        <fgColor rgb="FFFFEB9C"/>
      </patternFill>
    </fill>
  </fills>
  <borders count="7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right style="medium">
        <color auto="1"/>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s>
  <cellStyleXfs count="21">
    <xf numFmtId="0" fontId="0" fillId="0" borderId="0"/>
    <xf numFmtId="44"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3"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1" fillId="0" borderId="0"/>
    <xf numFmtId="0" fontId="1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5" fillId="0" borderId="0"/>
    <xf numFmtId="0" fontId="16" fillId="0" borderId="0" applyNumberFormat="0" applyFill="0" applyBorder="0" applyAlignment="0" applyProtection="0"/>
    <xf numFmtId="0" fontId="21" fillId="4" borderId="0" applyNumberFormat="0" applyBorder="0" applyAlignment="0" applyProtection="0"/>
    <xf numFmtId="0" fontId="25" fillId="6" borderId="0" applyNumberFormat="0" applyBorder="0" applyAlignment="0" applyProtection="0"/>
  </cellStyleXfs>
  <cellXfs count="439">
    <xf numFmtId="0" fontId="0" fillId="0" borderId="0" xfId="0"/>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2" fillId="0" borderId="0" xfId="0" applyFont="1"/>
    <xf numFmtId="0" fontId="4" fillId="0" borderId="0" xfId="0" applyFont="1"/>
    <xf numFmtId="0" fontId="0" fillId="0" borderId="0" xfId="0" applyAlignment="1">
      <alignment horizontal="right"/>
    </xf>
    <xf numFmtId="0" fontId="7" fillId="0" borderId="0" xfId="0" applyFont="1" applyFill="1" applyBorder="1" applyAlignment="1">
      <alignment horizontal="center"/>
    </xf>
    <xf numFmtId="0" fontId="8" fillId="0" borderId="21" xfId="0" applyFont="1" applyBorder="1" applyAlignment="1">
      <alignment vertical="center"/>
    </xf>
    <xf numFmtId="0" fontId="2" fillId="0" borderId="0" xfId="0" applyFont="1" applyBorder="1" applyAlignment="1">
      <alignment horizontal="center"/>
    </xf>
    <xf numFmtId="0" fontId="9" fillId="0" borderId="0" xfId="0" applyFont="1" applyBorder="1" applyAlignment="1">
      <alignment horizontal="center"/>
    </xf>
    <xf numFmtId="0" fontId="0" fillId="0" borderId="34" xfId="0" applyBorder="1"/>
    <xf numFmtId="0" fontId="4" fillId="2" borderId="38" xfId="0" applyFont="1" applyFill="1" applyBorder="1"/>
    <xf numFmtId="0" fontId="4" fillId="2" borderId="37" xfId="0" applyFont="1" applyFill="1" applyBorder="1"/>
    <xf numFmtId="0" fontId="0" fillId="0" borderId="0" xfId="0" applyFill="1"/>
    <xf numFmtId="0" fontId="4" fillId="0" borderId="0" xfId="0" applyFont="1" applyFill="1"/>
    <xf numFmtId="0" fontId="3" fillId="0" borderId="0" xfId="0" applyFont="1" applyFill="1"/>
    <xf numFmtId="0" fontId="0" fillId="0" borderId="0" xfId="0" applyFill="1" applyBorder="1"/>
    <xf numFmtId="0" fontId="0" fillId="0" borderId="0" xfId="0" applyFill="1" applyBorder="1" applyAlignment="1">
      <alignment horizontal="center"/>
    </xf>
    <xf numFmtId="0" fontId="0" fillId="0" borderId="0" xfId="0" applyFill="1" applyAlignment="1">
      <alignment vertical="top" wrapText="1"/>
    </xf>
    <xf numFmtId="0" fontId="0" fillId="0" borderId="0" xfId="0" applyBorder="1"/>
    <xf numFmtId="0" fontId="0" fillId="0" borderId="0" xfId="0" applyAlignment="1">
      <alignment vertical="top" wrapText="1"/>
    </xf>
    <xf numFmtId="0" fontId="4" fillId="0" borderId="0" xfId="0" applyFont="1" applyBorder="1"/>
    <xf numFmtId="0" fontId="0" fillId="0" borderId="0" xfId="0" applyBorder="1" applyAlignment="1">
      <alignment horizontal="center"/>
    </xf>
    <xf numFmtId="0" fontId="12" fillId="0" borderId="0" xfId="0" applyFont="1"/>
    <xf numFmtId="0" fontId="0" fillId="0" borderId="4" xfId="0" applyBorder="1" applyAlignment="1">
      <alignment horizontal="center"/>
    </xf>
    <xf numFmtId="165" fontId="7" fillId="0" borderId="21" xfId="1" applyNumberFormat="1" applyFont="1" applyFill="1" applyBorder="1" applyAlignment="1">
      <alignment horizontal="center"/>
    </xf>
    <xf numFmtId="165" fontId="7" fillId="0" borderId="20" xfId="1" applyNumberFormat="1" applyFont="1" applyFill="1" applyBorder="1" applyAlignment="1">
      <alignment horizontal="center"/>
    </xf>
    <xf numFmtId="0" fontId="8" fillId="0" borderId="21" xfId="1" applyNumberFormat="1" applyFont="1" applyFill="1" applyBorder="1" applyAlignment="1">
      <alignment horizontal="center"/>
    </xf>
    <xf numFmtId="0" fontId="0" fillId="0" borderId="1" xfId="0" applyBorder="1"/>
    <xf numFmtId="0" fontId="0" fillId="0" borderId="2" xfId="0" applyBorder="1" applyAlignment="1">
      <alignment horizontal="center"/>
    </xf>
    <xf numFmtId="0" fontId="0" fillId="0" borderId="27" xfId="0" applyBorder="1"/>
    <xf numFmtId="0" fontId="0" fillId="0" borderId="26" xfId="0" applyBorder="1"/>
    <xf numFmtId="0" fontId="0" fillId="0" borderId="39" xfId="0" applyBorder="1"/>
    <xf numFmtId="0" fontId="0" fillId="0" borderId="3" xfId="0" applyBorder="1"/>
    <xf numFmtId="0" fontId="0" fillId="0" borderId="24" xfId="0" applyBorder="1"/>
    <xf numFmtId="0" fontId="0" fillId="0" borderId="28" xfId="0" applyBorder="1"/>
    <xf numFmtId="0" fontId="0" fillId="0" borderId="33" xfId="0" applyBorder="1"/>
    <xf numFmtId="0" fontId="0" fillId="0" borderId="35" xfId="0" applyBorder="1"/>
    <xf numFmtId="0" fontId="4" fillId="0" borderId="30" xfId="0" applyFont="1" applyBorder="1"/>
    <xf numFmtId="0" fontId="4" fillId="0" borderId="14" xfId="0" applyFont="1" applyBorder="1"/>
    <xf numFmtId="167" fontId="0" fillId="0" borderId="0" xfId="15" applyNumberFormat="1" applyFont="1" applyBorder="1"/>
    <xf numFmtId="164" fontId="0" fillId="0" borderId="0" xfId="0" applyNumberFormat="1" applyBorder="1" applyAlignment="1">
      <alignment horizontal="center"/>
    </xf>
    <xf numFmtId="2" fontId="0" fillId="0" borderId="0" xfId="0" applyNumberFormat="1" applyBorder="1" applyAlignment="1">
      <alignment horizontal="center"/>
    </xf>
    <xf numFmtId="9" fontId="14" fillId="0" borderId="15" xfId="0" applyNumberFormat="1" applyFont="1" applyBorder="1" applyAlignment="1">
      <alignment horizontal="center"/>
    </xf>
    <xf numFmtId="0" fontId="14" fillId="0" borderId="16" xfId="0" applyFont="1" applyBorder="1" applyAlignment="1">
      <alignment horizontal="center"/>
    </xf>
    <xf numFmtId="0" fontId="14" fillId="0" borderId="36" xfId="0" applyFont="1" applyBorder="1" applyAlignment="1">
      <alignment horizontal="center"/>
    </xf>
    <xf numFmtId="0" fontId="0" fillId="0" borderId="0" xfId="0" applyBorder="1" applyAlignment="1">
      <alignment vertical="top" wrapText="1"/>
    </xf>
    <xf numFmtId="0" fontId="0" fillId="0" borderId="0" xfId="0"/>
    <xf numFmtId="0" fontId="0" fillId="0" borderId="0" xfId="0" applyAlignment="1">
      <alignment vertical="center"/>
    </xf>
    <xf numFmtId="0" fontId="0" fillId="0" borderId="0" xfId="0" applyAlignment="1">
      <alignment vertical="top"/>
    </xf>
    <xf numFmtId="37" fontId="2" fillId="0" borderId="0" xfId="0" applyNumberFormat="1" applyFont="1"/>
    <xf numFmtId="0" fontId="0" fillId="0" borderId="0" xfId="0"/>
    <xf numFmtId="0" fontId="0" fillId="0" borderId="0" xfId="0" applyFill="1" applyBorder="1" applyAlignment="1">
      <alignment horizontal="left"/>
    </xf>
    <xf numFmtId="167" fontId="0" fillId="0" borderId="0" xfId="0" applyNumberFormat="1" applyFill="1" applyBorder="1" applyAlignment="1">
      <alignment horizontal="center" vertical="top" wrapText="1"/>
    </xf>
    <xf numFmtId="44" fontId="0" fillId="0" borderId="0" xfId="1" applyFont="1" applyFill="1" applyBorder="1"/>
    <xf numFmtId="0" fontId="0" fillId="0" borderId="0" xfId="0" applyAlignment="1">
      <alignment horizontal="left"/>
    </xf>
    <xf numFmtId="1" fontId="0" fillId="0" borderId="0" xfId="0" applyNumberFormat="1"/>
    <xf numFmtId="168" fontId="0" fillId="0" borderId="0" xfId="1" applyNumberFormat="1" applyFont="1" applyFill="1" applyBorder="1" applyAlignment="1">
      <alignment horizontal="center"/>
    </xf>
    <xf numFmtId="0" fontId="0" fillId="0" borderId="21" xfId="0" applyFill="1" applyBorder="1" applyAlignment="1">
      <alignment horizontal="left"/>
    </xf>
    <xf numFmtId="168" fontId="0" fillId="0" borderId="21" xfId="1" applyNumberFormat="1" applyFont="1" applyFill="1" applyBorder="1" applyAlignment="1">
      <alignment horizontal="center"/>
    </xf>
    <xf numFmtId="169" fontId="0" fillId="0" borderId="0" xfId="0" applyNumberFormat="1"/>
    <xf numFmtId="165" fontId="8" fillId="0" borderId="21" xfId="1" applyNumberFormat="1" applyFont="1" applyFill="1" applyBorder="1" applyAlignment="1">
      <alignment vertical="center"/>
    </xf>
    <xf numFmtId="0" fontId="8" fillId="0" borderId="0" xfId="2" applyFont="1" applyFill="1" applyBorder="1" applyAlignment="1">
      <alignment horizontal="left"/>
    </xf>
    <xf numFmtId="0" fontId="8" fillId="0" borderId="21" xfId="2" applyFont="1" applyFill="1" applyBorder="1" applyAlignment="1">
      <alignment horizontal="left" vertical="center"/>
    </xf>
    <xf numFmtId="0" fontId="8" fillId="0" borderId="21" xfId="2" applyFont="1" applyFill="1" applyBorder="1" applyAlignment="1">
      <alignment horizontal="center" vertical="center"/>
    </xf>
    <xf numFmtId="0" fontId="16" fillId="0" borderId="0" xfId="18"/>
    <xf numFmtId="0" fontId="17" fillId="0" borderId="0" xfId="0" applyFont="1"/>
    <xf numFmtId="0" fontId="17" fillId="0" borderId="0" xfId="0" quotePrefix="1" applyFont="1"/>
    <xf numFmtId="0" fontId="0" fillId="0" borderId="21" xfId="0" applyBorder="1"/>
    <xf numFmtId="0" fontId="18" fillId="0" borderId="0" xfId="0" quotePrefix="1" applyFont="1"/>
    <xf numFmtId="164" fontId="2" fillId="0" borderId="16" xfId="0" applyNumberFormat="1" applyFont="1" applyBorder="1" applyAlignment="1">
      <alignment horizontal="center" vertical="center"/>
    </xf>
    <xf numFmtId="164" fontId="2" fillId="0" borderId="17" xfId="0" applyNumberFormat="1" applyFont="1" applyBorder="1" applyAlignment="1">
      <alignment horizontal="center" vertical="center"/>
    </xf>
    <xf numFmtId="0" fontId="7" fillId="0" borderId="0" xfId="0" applyFont="1" applyFill="1" applyBorder="1" applyAlignment="1">
      <alignment horizontal="center" vertical="center" wrapText="1"/>
    </xf>
    <xf numFmtId="165" fontId="8" fillId="0" borderId="0" xfId="1" applyNumberFormat="1" applyFont="1" applyFill="1" applyBorder="1" applyAlignment="1">
      <alignment vertical="center"/>
    </xf>
    <xf numFmtId="165" fontId="7" fillId="0" borderId="0" xfId="1" applyNumberFormat="1" applyFont="1" applyFill="1" applyBorder="1" applyAlignment="1">
      <alignment horizontal="center"/>
    </xf>
    <xf numFmtId="0" fontId="7" fillId="0" borderId="0" xfId="4" applyFont="1" applyFill="1" applyBorder="1" applyAlignment="1">
      <alignment horizontal="center" vertical="center"/>
    </xf>
    <xf numFmtId="165" fontId="8" fillId="0" borderId="0" xfId="1" applyNumberFormat="1" applyFont="1" applyFill="1" applyBorder="1" applyAlignment="1">
      <alignment horizontal="center"/>
    </xf>
    <xf numFmtId="2" fontId="8" fillId="0" borderId="21" xfId="0" applyNumberFormat="1" applyFont="1" applyFill="1" applyBorder="1" applyAlignment="1">
      <alignment horizontal="center"/>
    </xf>
    <xf numFmtId="165" fontId="8" fillId="0" borderId="21" xfId="1" applyNumberFormat="1" applyFont="1" applyFill="1" applyBorder="1" applyAlignment="1">
      <alignment horizontal="center"/>
    </xf>
    <xf numFmtId="164" fontId="2" fillId="0" borderId="28" xfId="15" applyNumberFormat="1" applyFont="1" applyBorder="1" applyAlignment="1">
      <alignment horizontal="right"/>
    </xf>
    <xf numFmtId="164" fontId="2" fillId="0" borderId="33" xfId="15" applyNumberFormat="1" applyFont="1" applyBorder="1" applyAlignment="1">
      <alignment horizontal="right"/>
    </xf>
    <xf numFmtId="164" fontId="0" fillId="0" borderId="21" xfId="0" applyNumberFormat="1" applyBorder="1"/>
    <xf numFmtId="164" fontId="2" fillId="0" borderId="15" xfId="0" applyNumberFormat="1" applyFont="1" applyBorder="1" applyAlignment="1">
      <alignment horizontal="right"/>
    </xf>
    <xf numFmtId="164" fontId="2" fillId="0" borderId="16" xfId="15" applyNumberFormat="1" applyFont="1" applyBorder="1" applyAlignment="1">
      <alignment horizontal="right"/>
    </xf>
    <xf numFmtId="164" fontId="2" fillId="0" borderId="17" xfId="15" applyNumberFormat="1" applyFont="1" applyBorder="1" applyAlignment="1">
      <alignment horizontal="right"/>
    </xf>
    <xf numFmtId="38" fontId="2" fillId="0" borderId="9" xfId="0" applyNumberFormat="1" applyFont="1" applyFill="1" applyBorder="1" applyAlignment="1">
      <alignment horizontal="right" indent="1"/>
    </xf>
    <xf numFmtId="0" fontId="4" fillId="2" borderId="48" xfId="0" applyFont="1" applyFill="1" applyBorder="1"/>
    <xf numFmtId="2" fontId="4" fillId="0" borderId="49" xfId="0" applyNumberFormat="1" applyFont="1" applyFill="1" applyBorder="1" applyAlignment="1">
      <alignment horizontal="center"/>
    </xf>
    <xf numFmtId="0" fontId="4" fillId="2" borderId="29" xfId="0" applyFont="1" applyFill="1" applyBorder="1"/>
    <xf numFmtId="164" fontId="0" fillId="0" borderId="17" xfId="0" applyNumberFormat="1" applyBorder="1" applyAlignment="1">
      <alignment horizontal="center"/>
    </xf>
    <xf numFmtId="164" fontId="2" fillId="0" borderId="29" xfId="15" applyNumberFormat="1" applyFont="1" applyBorder="1" applyAlignment="1">
      <alignment horizontal="right"/>
    </xf>
    <xf numFmtId="164" fontId="0" fillId="0" borderId="43" xfId="0" applyNumberFormat="1" applyBorder="1"/>
    <xf numFmtId="0" fontId="0" fillId="0" borderId="21" xfId="0" applyBorder="1" applyAlignment="1">
      <alignment horizontal="left"/>
    </xf>
    <xf numFmtId="0" fontId="0" fillId="0" borderId="21" xfId="0" applyBorder="1" applyAlignment="1">
      <alignment horizontal="center"/>
    </xf>
    <xf numFmtId="0" fontId="2" fillId="0" borderId="21" xfId="0" applyFont="1" applyFill="1" applyBorder="1" applyAlignment="1">
      <alignment horizontal="center"/>
    </xf>
    <xf numFmtId="0" fontId="0" fillId="0" borderId="0" xfId="0" applyAlignment="1">
      <alignment horizontal="right" vertical="top"/>
    </xf>
    <xf numFmtId="9" fontId="4" fillId="2" borderId="31" xfId="0" applyNumberFormat="1" applyFont="1" applyFill="1" applyBorder="1" applyAlignment="1">
      <alignment horizontal="center"/>
    </xf>
    <xf numFmtId="164" fontId="0" fillId="0" borderId="50" xfId="0" applyNumberFormat="1" applyBorder="1" applyAlignment="1">
      <alignment horizontal="center"/>
    </xf>
    <xf numFmtId="164" fontId="0" fillId="0" borderId="36" xfId="0" applyNumberFormat="1" applyBorder="1" applyAlignment="1">
      <alignment horizontal="center"/>
    </xf>
    <xf numFmtId="0" fontId="0" fillId="0" borderId="0" xfId="0"/>
    <xf numFmtId="0" fontId="4" fillId="0" borderId="0" xfId="0" applyFont="1"/>
    <xf numFmtId="0" fontId="0" fillId="0" borderId="0" xfId="0" applyAlignment="1">
      <alignment horizontal="center"/>
    </xf>
    <xf numFmtId="164" fontId="0" fillId="0" borderId="0" xfId="0" applyNumberFormat="1"/>
    <xf numFmtId="0" fontId="4" fillId="0" borderId="0" xfId="0" applyFont="1" applyBorder="1" applyAlignment="1">
      <alignment horizontal="center"/>
    </xf>
    <xf numFmtId="0" fontId="2" fillId="0" borderId="0" xfId="0" applyFont="1" applyFill="1" applyBorder="1" applyAlignment="1">
      <alignment horizontal="center"/>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4" fillId="0" borderId="4" xfId="0" applyFont="1" applyBorder="1" applyAlignment="1"/>
    <xf numFmtId="0" fontId="0" fillId="0" borderId="0" xfId="0" applyAlignment="1">
      <alignment horizontal="left" vertical="top" wrapText="1"/>
    </xf>
    <xf numFmtId="0" fontId="4" fillId="0" borderId="0" xfId="0" applyFont="1" applyFill="1" applyBorder="1" applyAlignment="1">
      <alignment horizontal="left"/>
    </xf>
    <xf numFmtId="0" fontId="4" fillId="0" borderId="21" xfId="0" applyFont="1" applyBorder="1" applyAlignment="1">
      <alignment horizontal="center"/>
    </xf>
    <xf numFmtId="0" fontId="0" fillId="0" borderId="0" xfId="0" applyFill="1" applyAlignment="1">
      <alignment horizontal="left" vertical="top" wrapText="1"/>
    </xf>
    <xf numFmtId="0" fontId="0" fillId="0" borderId="4" xfId="0" applyBorder="1" applyAlignment="1"/>
    <xf numFmtId="164" fontId="2" fillId="0" borderId="28" xfId="15" applyNumberFormat="1" applyFont="1" applyBorder="1" applyAlignment="1">
      <alignment horizontal="center"/>
    </xf>
    <xf numFmtId="164" fontId="2" fillId="0" borderId="40" xfId="15" applyNumberFormat="1" applyFont="1" applyBorder="1" applyAlignment="1">
      <alignment horizontal="center"/>
    </xf>
    <xf numFmtId="164" fontId="2" fillId="0" borderId="15" xfId="15" applyNumberFormat="1" applyFont="1" applyBorder="1" applyAlignment="1">
      <alignment horizontal="center"/>
    </xf>
    <xf numFmtId="164" fontId="2" fillId="0" borderId="33" xfId="15" applyNumberFormat="1" applyFont="1" applyBorder="1" applyAlignment="1">
      <alignment horizontal="center"/>
    </xf>
    <xf numFmtId="164" fontId="2" fillId="0" borderId="21" xfId="15" applyNumberFormat="1" applyFont="1" applyBorder="1" applyAlignment="1">
      <alignment horizontal="center"/>
    </xf>
    <xf numFmtId="164" fontId="2" fillId="0" borderId="16" xfId="15" applyNumberFormat="1" applyFont="1" applyBorder="1" applyAlignment="1">
      <alignment horizontal="center"/>
    </xf>
    <xf numFmtId="164" fontId="2" fillId="0" borderId="29" xfId="15" applyNumberFormat="1" applyFont="1" applyBorder="1" applyAlignment="1">
      <alignment horizontal="center"/>
    </xf>
    <xf numFmtId="164" fontId="2" fillId="0" borderId="45" xfId="15" applyNumberFormat="1" applyFont="1" applyBorder="1" applyAlignment="1">
      <alignment horizontal="center"/>
    </xf>
    <xf numFmtId="164" fontId="2" fillId="0" borderId="17" xfId="15" applyNumberFormat="1" applyFont="1" applyBorder="1" applyAlignment="1">
      <alignment horizontal="center"/>
    </xf>
    <xf numFmtId="0" fontId="4" fillId="0" borderId="0" xfId="0" applyFont="1" applyBorder="1" applyAlignment="1"/>
    <xf numFmtId="0" fontId="4" fillId="0" borderId="22" xfId="0" applyFont="1" applyBorder="1" applyAlignment="1">
      <alignment horizontal="center"/>
    </xf>
    <xf numFmtId="38" fontId="3" fillId="0" borderId="0" xfId="0" applyNumberFormat="1" applyFont="1" applyFill="1" applyAlignment="1">
      <alignment horizontal="right"/>
    </xf>
    <xf numFmtId="164" fontId="4" fillId="0" borderId="0" xfId="0" applyNumberFormat="1" applyFont="1" applyAlignment="1">
      <alignment horizontal="right"/>
    </xf>
    <xf numFmtId="17" fontId="0" fillId="0" borderId="0" xfId="0" applyNumberFormat="1"/>
    <xf numFmtId="0" fontId="4" fillId="0" borderId="0" xfId="0" applyFont="1" applyFill="1" applyBorder="1"/>
    <xf numFmtId="0" fontId="8" fillId="0" borderId="0" xfId="2" applyFont="1" applyFill="1" applyBorder="1" applyAlignment="1">
      <alignment horizontal="left" vertical="center"/>
    </xf>
    <xf numFmtId="0" fontId="8" fillId="0" borderId="0" xfId="2" applyFont="1" applyFill="1" applyBorder="1" applyAlignment="1">
      <alignment horizontal="center" vertical="center"/>
    </xf>
    <xf numFmtId="3" fontId="0" fillId="0" borderId="21" xfId="0" applyNumberFormat="1" applyBorder="1"/>
    <xf numFmtId="6" fontId="2" fillId="0" borderId="28" xfId="15" applyNumberFormat="1" applyFont="1" applyBorder="1" applyAlignment="1">
      <alignment horizontal="center"/>
    </xf>
    <xf numFmtId="6" fontId="2" fillId="0" borderId="15" xfId="15" applyNumberFormat="1" applyFont="1" applyBorder="1" applyAlignment="1">
      <alignment horizontal="center"/>
    </xf>
    <xf numFmtId="6" fontId="2" fillId="0" borderId="33" xfId="15" applyNumberFormat="1" applyFont="1" applyBorder="1" applyAlignment="1">
      <alignment horizontal="center"/>
    </xf>
    <xf numFmtId="6" fontId="2" fillId="0" borderId="16" xfId="15" applyNumberFormat="1" applyFont="1" applyBorder="1" applyAlignment="1">
      <alignment horizontal="center"/>
    </xf>
    <xf numFmtId="6" fontId="2" fillId="0" borderId="29" xfId="15" applyNumberFormat="1" applyFont="1" applyBorder="1" applyAlignment="1">
      <alignment horizontal="center"/>
    </xf>
    <xf numFmtId="6" fontId="2" fillId="0" borderId="17" xfId="15" applyNumberFormat="1" applyFont="1" applyBorder="1" applyAlignment="1">
      <alignment horizontal="center"/>
    </xf>
    <xf numFmtId="0" fontId="4" fillId="0" borderId="0" xfId="0" applyFont="1" applyFill="1" applyBorder="1" applyAlignment="1">
      <alignment horizontal="left"/>
    </xf>
    <xf numFmtId="0" fontId="4" fillId="0" borderId="21" xfId="0" applyFont="1" applyBorder="1" applyAlignment="1">
      <alignment horizontal="center"/>
    </xf>
    <xf numFmtId="0" fontId="0" fillId="0" borderId="0" xfId="0" applyBorder="1" applyAlignment="1">
      <alignment vertical="top"/>
    </xf>
    <xf numFmtId="164" fontId="4" fillId="0" borderId="21" xfId="0" applyNumberFormat="1" applyFont="1" applyBorder="1" applyAlignment="1">
      <alignment horizontal="center"/>
    </xf>
    <xf numFmtId="164" fontId="0" fillId="0" borderId="21" xfId="0" applyNumberFormat="1" applyBorder="1" applyAlignment="1">
      <alignment horizontal="center"/>
    </xf>
    <xf numFmtId="0" fontId="0" fillId="0" borderId="0" xfId="0" applyBorder="1" applyAlignment="1">
      <alignment horizontal="left"/>
    </xf>
    <xf numFmtId="0" fontId="16" fillId="0" borderId="0" xfId="18" applyBorder="1" applyAlignment="1">
      <alignment vertical="top"/>
    </xf>
    <xf numFmtId="3" fontId="0" fillId="0" borderId="0" xfId="0" applyNumberFormat="1"/>
    <xf numFmtId="0" fontId="0" fillId="0" borderId="0" xfId="0" applyAlignment="1"/>
    <xf numFmtId="0" fontId="4" fillId="0" borderId="47" xfId="0" applyFont="1" applyBorder="1"/>
    <xf numFmtId="9" fontId="4" fillId="2" borderId="51" xfId="0" applyNumberFormat="1" applyFont="1" applyFill="1" applyBorder="1" applyAlignment="1">
      <alignment horizontal="center"/>
    </xf>
    <xf numFmtId="164" fontId="0" fillId="0" borderId="51" xfId="0" applyNumberFormat="1" applyBorder="1"/>
    <xf numFmtId="0" fontId="0" fillId="0" borderId="0" xfId="0"/>
    <xf numFmtId="0" fontId="4" fillId="0" borderId="0" xfId="0" applyFont="1"/>
    <xf numFmtId="0" fontId="0" fillId="0" borderId="0" xfId="0" applyAlignment="1">
      <alignment horizontal="right"/>
    </xf>
    <xf numFmtId="0" fontId="8" fillId="0" borderId="21" xfId="0" applyFont="1" applyBorder="1" applyAlignment="1">
      <alignment vertical="center"/>
    </xf>
    <xf numFmtId="0" fontId="9" fillId="0" borderId="0" xfId="0" applyFont="1" applyBorder="1" applyAlignment="1">
      <alignment horizontal="center"/>
    </xf>
    <xf numFmtId="0" fontId="0" fillId="0" borderId="0" xfId="0" applyFill="1" applyBorder="1"/>
    <xf numFmtId="0" fontId="9" fillId="0" borderId="0" xfId="0" applyFont="1" applyBorder="1" applyAlignment="1">
      <alignment horizontal="left"/>
    </xf>
    <xf numFmtId="2" fontId="0" fillId="0" borderId="0" xfId="0" applyNumberFormat="1" applyBorder="1" applyAlignment="1">
      <alignment horizontal="center"/>
    </xf>
    <xf numFmtId="0" fontId="0" fillId="0" borderId="0" xfId="0" applyAlignment="1">
      <alignment horizontal="center"/>
    </xf>
    <xf numFmtId="0" fontId="16" fillId="0" borderId="0" xfId="18"/>
    <xf numFmtId="0" fontId="0" fillId="0" borderId="21" xfId="0" applyBorder="1"/>
    <xf numFmtId="9" fontId="4" fillId="2" borderId="31" xfId="0" applyNumberFormat="1" applyFont="1" applyFill="1" applyBorder="1" applyAlignment="1">
      <alignment horizontal="center"/>
    </xf>
    <xf numFmtId="0" fontId="0" fillId="0" borderId="47" xfId="0" applyBorder="1"/>
    <xf numFmtId="164" fontId="2" fillId="0" borderId="40" xfId="15" applyNumberFormat="1" applyFont="1" applyBorder="1" applyAlignment="1">
      <alignment horizontal="center"/>
    </xf>
    <xf numFmtId="168" fontId="0" fillId="0" borderId="0" xfId="0" applyNumberFormat="1"/>
    <xf numFmtId="0" fontId="4" fillId="0" borderId="0" xfId="0" applyFont="1" applyBorder="1" applyAlignment="1">
      <alignment horizontal="left"/>
    </xf>
    <xf numFmtId="2" fontId="0" fillId="0" borderId="51" xfId="0" applyNumberFormat="1" applyBorder="1" applyAlignment="1">
      <alignment horizontal="center"/>
    </xf>
    <xf numFmtId="164" fontId="0" fillId="0" borderId="31" xfId="0" applyNumberFormat="1" applyBorder="1"/>
    <xf numFmtId="164" fontId="10" fillId="0" borderId="0" xfId="0" applyNumberFormat="1" applyFont="1"/>
    <xf numFmtId="0" fontId="4" fillId="0" borderId="0" xfId="0" applyFont="1" applyFill="1" applyBorder="1" applyAlignment="1">
      <alignment horizontal="left"/>
    </xf>
    <xf numFmtId="0" fontId="0" fillId="0" borderId="0" xfId="0" applyAlignment="1">
      <alignment horizontal="left" vertical="top" wrapText="1"/>
    </xf>
    <xf numFmtId="0" fontId="0" fillId="0" borderId="0" xfId="0" applyFill="1" applyAlignment="1">
      <alignment horizontal="left" vertical="top" wrapText="1"/>
    </xf>
    <xf numFmtId="0" fontId="0" fillId="0" borderId="21" xfId="0" applyFill="1" applyBorder="1"/>
    <xf numFmtId="168" fontId="0" fillId="0" borderId="21" xfId="0" applyNumberFormat="1" applyBorder="1"/>
    <xf numFmtId="172" fontId="0" fillId="0" borderId="21" xfId="15" applyNumberFormat="1" applyFont="1" applyFill="1" applyBorder="1"/>
    <xf numFmtId="167" fontId="4" fillId="0" borderId="0" xfId="15" applyNumberFormat="1" applyFont="1" applyBorder="1"/>
    <xf numFmtId="2" fontId="0" fillId="0" borderId="21" xfId="0" applyNumberFormat="1" applyBorder="1"/>
    <xf numFmtId="9" fontId="0" fillId="0" borderId="21" xfId="16" applyFont="1" applyBorder="1" applyAlignment="1">
      <alignment vertical="top" wrapText="1"/>
    </xf>
    <xf numFmtId="0" fontId="0" fillId="0" borderId="21" xfId="0" applyBorder="1" applyAlignment="1">
      <alignment horizontal="left" vertical="top"/>
    </xf>
    <xf numFmtId="0" fontId="0" fillId="0" borderId="21" xfId="0" applyBorder="1" applyAlignment="1">
      <alignment vertical="top" wrapText="1"/>
    </xf>
    <xf numFmtId="0" fontId="0" fillId="0" borderId="21" xfId="0" applyFont="1" applyBorder="1" applyAlignment="1">
      <alignment horizontal="left"/>
    </xf>
    <xf numFmtId="170" fontId="0" fillId="0" borderId="0" xfId="0" applyNumberFormat="1" applyAlignment="1">
      <alignment horizontal="center"/>
    </xf>
    <xf numFmtId="0" fontId="4" fillId="0" borderId="0" xfId="0" applyFont="1" applyFill="1" applyBorder="1" applyAlignment="1">
      <alignment horizontal="left"/>
    </xf>
    <xf numFmtId="0" fontId="0" fillId="0" borderId="0" xfId="0" applyAlignment="1">
      <alignment horizontal="left" vertical="top" wrapText="1"/>
    </xf>
    <xf numFmtId="0" fontId="0" fillId="0" borderId="0" xfId="0" applyFill="1" applyAlignment="1">
      <alignment horizontal="left" vertical="top" wrapText="1"/>
    </xf>
    <xf numFmtId="0" fontId="0" fillId="0" borderId="0" xfId="0" applyFill="1" applyAlignment="1">
      <alignment horizontal="left" vertical="top" wrapText="1"/>
    </xf>
    <xf numFmtId="0" fontId="4" fillId="0" borderId="0" xfId="0" applyFont="1" applyFill="1" applyBorder="1" applyAlignment="1">
      <alignment horizontal="left"/>
    </xf>
    <xf numFmtId="0" fontId="0" fillId="0" borderId="0" xfId="0" applyAlignment="1">
      <alignment horizontal="left" vertical="top" wrapText="1"/>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4" fillId="0" borderId="0" xfId="0" applyFont="1" applyAlignment="1">
      <alignment horizontal="left"/>
    </xf>
    <xf numFmtId="168" fontId="0" fillId="0" borderId="0" xfId="0" applyNumberFormat="1" applyAlignment="1">
      <alignment horizontal="center"/>
    </xf>
    <xf numFmtId="0" fontId="0" fillId="0" borderId="0" xfId="0" applyAlignment="1">
      <alignment horizontal="center" vertical="center"/>
    </xf>
    <xf numFmtId="37" fontId="1" fillId="0" borderId="0" xfId="15" applyNumberFormat="1" applyFont="1" applyFill="1" applyBorder="1" applyAlignment="1">
      <alignment horizontal="center"/>
    </xf>
    <xf numFmtId="0" fontId="19" fillId="0" borderId="0" xfId="0" applyFont="1" applyAlignment="1">
      <alignment horizontal="left"/>
    </xf>
    <xf numFmtId="0" fontId="20" fillId="0" borderId="0" xfId="0" applyFont="1" applyAlignment="1">
      <alignment horizontal="center"/>
    </xf>
    <xf numFmtId="0" fontId="4" fillId="0" borderId="0" xfId="0" applyFont="1" applyAlignment="1">
      <alignment horizontal="center"/>
    </xf>
    <xf numFmtId="165" fontId="0" fillId="0" borderId="0" xfId="1" applyNumberFormat="1" applyFont="1" applyAlignment="1">
      <alignment horizontal="center"/>
    </xf>
    <xf numFmtId="2" fontId="0" fillId="0" borderId="0" xfId="1" applyNumberFormat="1" applyFont="1" applyAlignment="1">
      <alignment horizontal="center"/>
    </xf>
    <xf numFmtId="165" fontId="0" fillId="0" borderId="0" xfId="0" applyNumberFormat="1" applyAlignment="1">
      <alignment horizontal="center"/>
    </xf>
    <xf numFmtId="2" fontId="0" fillId="0" borderId="0" xfId="0" applyNumberFormat="1" applyAlignment="1">
      <alignment horizontal="center"/>
    </xf>
    <xf numFmtId="2" fontId="0" fillId="0" borderId="0" xfId="0" applyNumberFormat="1"/>
    <xf numFmtId="0" fontId="0" fillId="3" borderId="0" xfId="0" applyFill="1" applyAlignment="1">
      <alignment horizontal="center" vertical="center"/>
    </xf>
    <xf numFmtId="0" fontId="0" fillId="3" borderId="0" xfId="0" applyFill="1" applyAlignment="1">
      <alignment horizontal="center"/>
    </xf>
    <xf numFmtId="2" fontId="0" fillId="3" borderId="0" xfId="0" applyNumberFormat="1" applyFill="1" applyAlignment="1">
      <alignment horizontal="center"/>
    </xf>
    <xf numFmtId="2" fontId="0" fillId="3" borderId="0" xfId="0" applyNumberFormat="1" applyFill="1"/>
    <xf numFmtId="0" fontId="0" fillId="3" borderId="0" xfId="0" applyFill="1"/>
    <xf numFmtId="0" fontId="19" fillId="0" borderId="0" xfId="0" applyFont="1" applyAlignment="1">
      <alignment horizontal="center"/>
    </xf>
    <xf numFmtId="0" fontId="0" fillId="0" borderId="21" xfId="0" applyFont="1" applyBorder="1" applyAlignment="1">
      <alignment horizontal="center" vertical="center"/>
    </xf>
    <xf numFmtId="165" fontId="1" fillId="0" borderId="21" xfId="1" applyNumberFormat="1" applyFont="1" applyBorder="1"/>
    <xf numFmtId="165" fontId="0" fillId="0" borderId="21" xfId="0" applyNumberFormat="1" applyFont="1" applyBorder="1"/>
    <xf numFmtId="0" fontId="0" fillId="0" borderId="0" xfId="0"/>
    <xf numFmtId="0" fontId="0" fillId="0" borderId="56" xfId="0" applyFill="1" applyBorder="1" applyAlignment="1">
      <alignment horizontal="center"/>
    </xf>
    <xf numFmtId="0" fontId="0" fillId="0" borderId="29" xfId="0" applyFill="1" applyBorder="1" applyAlignment="1">
      <alignment horizontal="center"/>
    </xf>
    <xf numFmtId="0" fontId="0" fillId="0" borderId="0" xfId="0" applyAlignment="1">
      <alignment wrapText="1"/>
    </xf>
    <xf numFmtId="0" fontId="0" fillId="0" borderId="0" xfId="0" applyFill="1" applyAlignment="1">
      <alignment horizontal="left" vertical="top" wrapText="1"/>
    </xf>
    <xf numFmtId="0" fontId="4" fillId="0" borderId="0" xfId="0" applyFont="1" applyFill="1" applyBorder="1" applyAlignment="1">
      <alignment horizontal="left"/>
    </xf>
    <xf numFmtId="0" fontId="0" fillId="0" borderId="0" xfId="0" applyAlignment="1">
      <alignment horizontal="left" vertical="top" wrapText="1"/>
    </xf>
    <xf numFmtId="0" fontId="4" fillId="0" borderId="0" xfId="0" applyFont="1" applyAlignment="1">
      <alignment horizontal="left"/>
    </xf>
    <xf numFmtId="0" fontId="4" fillId="0" borderId="0" xfId="0" applyFont="1" applyBorder="1" applyAlignment="1">
      <alignment horizontal="left"/>
    </xf>
    <xf numFmtId="0" fontId="0" fillId="0" borderId="0" xfId="0"/>
    <xf numFmtId="0" fontId="19" fillId="0" borderId="0" xfId="0" applyFont="1"/>
    <xf numFmtId="0" fontId="21" fillId="4" borderId="0" xfId="19"/>
    <xf numFmtId="0" fontId="21" fillId="4" borderId="0" xfId="19" applyAlignment="1">
      <alignment horizontal="center"/>
    </xf>
    <xf numFmtId="164" fontId="0" fillId="0" borderId="50" xfId="1" applyNumberFormat="1" applyFont="1" applyFill="1" applyBorder="1" applyAlignment="1">
      <alignment horizontal="center"/>
    </xf>
    <xf numFmtId="164" fontId="0" fillId="0" borderId="17" xfId="1" applyNumberFormat="1" applyFont="1" applyFill="1" applyBorder="1" applyAlignment="1">
      <alignment horizontal="center"/>
    </xf>
    <xf numFmtId="164" fontId="4" fillId="0" borderId="0" xfId="0" applyNumberFormat="1" applyFont="1" applyFill="1" applyBorder="1" applyAlignment="1">
      <alignment horizontal="left"/>
    </xf>
    <xf numFmtId="44" fontId="0" fillId="0" borderId="0" xfId="1" applyFont="1" applyAlignment="1">
      <alignment horizontal="center"/>
    </xf>
    <xf numFmtId="0" fontId="4" fillId="0" borderId="21" xfId="0" applyFont="1" applyBorder="1" applyAlignment="1">
      <alignment horizontal="center" vertical="center"/>
    </xf>
    <xf numFmtId="0" fontId="16" fillId="0" borderId="0" xfId="18" applyFill="1"/>
    <xf numFmtId="170" fontId="2" fillId="0" borderId="5" xfId="0" applyNumberFormat="1" applyFont="1" applyBorder="1" applyAlignment="1">
      <alignment horizontal="center"/>
    </xf>
    <xf numFmtId="6" fontId="2" fillId="0" borderId="28" xfId="0" applyNumberFormat="1" applyFont="1" applyBorder="1" applyAlignment="1">
      <alignment horizontal="center"/>
    </xf>
    <xf numFmtId="6" fontId="2" fillId="0" borderId="15" xfId="0" applyNumberFormat="1" applyFont="1" applyBorder="1" applyAlignment="1">
      <alignment horizontal="center"/>
    </xf>
    <xf numFmtId="3" fontId="2" fillId="0" borderId="10" xfId="0" applyNumberFormat="1" applyFont="1" applyBorder="1" applyAlignment="1">
      <alignment horizontal="center"/>
    </xf>
    <xf numFmtId="174" fontId="2" fillId="0" borderId="28" xfId="0" applyNumberFormat="1" applyFont="1" applyBorder="1" applyAlignment="1">
      <alignment horizontal="center"/>
    </xf>
    <xf numFmtId="174" fontId="2" fillId="0" borderId="40" xfId="0" applyNumberFormat="1" applyFont="1" applyBorder="1" applyAlignment="1">
      <alignment horizontal="center"/>
    </xf>
    <xf numFmtId="174" fontId="2" fillId="0" borderId="15" xfId="0" applyNumberFormat="1" applyFont="1" applyBorder="1" applyAlignment="1">
      <alignment horizontal="center"/>
    </xf>
    <xf numFmtId="6" fontId="2" fillId="0" borderId="57" xfId="0" applyNumberFormat="1" applyFont="1" applyBorder="1" applyAlignment="1">
      <alignment horizontal="center"/>
    </xf>
    <xf numFmtId="6" fontId="2" fillId="0" borderId="40" xfId="0" applyNumberFormat="1" applyFont="1" applyBorder="1" applyAlignment="1">
      <alignment horizontal="center"/>
    </xf>
    <xf numFmtId="6" fontId="2" fillId="0" borderId="10" xfId="0" applyNumberFormat="1" applyFont="1" applyBorder="1" applyAlignment="1">
      <alignment horizontal="center"/>
    </xf>
    <xf numFmtId="6" fontId="2" fillId="0" borderId="63" xfId="0" applyNumberFormat="1" applyFont="1" applyBorder="1" applyAlignment="1">
      <alignment horizontal="center"/>
    </xf>
    <xf numFmtId="6" fontId="2" fillId="0" borderId="56" xfId="0" applyNumberFormat="1" applyFont="1" applyBorder="1" applyAlignment="1">
      <alignment horizontal="center"/>
    </xf>
    <xf numFmtId="6" fontId="2" fillId="0" borderId="50" xfId="0" applyNumberFormat="1" applyFont="1" applyBorder="1" applyAlignment="1">
      <alignment horizontal="center"/>
    </xf>
    <xf numFmtId="0" fontId="4" fillId="0" borderId="22" xfId="0" applyFont="1" applyBorder="1" applyAlignment="1">
      <alignment horizontal="left"/>
    </xf>
    <xf numFmtId="170" fontId="2" fillId="0" borderId="38" xfId="0" applyNumberFormat="1" applyFont="1" applyBorder="1" applyAlignment="1">
      <alignment horizontal="center"/>
    </xf>
    <xf numFmtId="3" fontId="2" fillId="0" borderId="11" xfId="0" applyNumberFormat="1" applyFont="1" applyBorder="1" applyAlignment="1">
      <alignment horizontal="center"/>
    </xf>
    <xf numFmtId="174" fontId="2" fillId="0" borderId="33" xfId="0" applyNumberFormat="1" applyFont="1" applyBorder="1" applyAlignment="1">
      <alignment horizontal="center"/>
    </xf>
    <xf numFmtId="174" fontId="2" fillId="0" borderId="21" xfId="0" applyNumberFormat="1" applyFont="1" applyBorder="1" applyAlignment="1">
      <alignment horizontal="center"/>
    </xf>
    <xf numFmtId="174" fontId="2" fillId="0" borderId="16" xfId="0" applyNumberFormat="1" applyFont="1" applyBorder="1" applyAlignment="1">
      <alignment horizontal="center"/>
    </xf>
    <xf numFmtId="6" fontId="2" fillId="0" borderId="21" xfId="0" applyNumberFormat="1" applyFont="1" applyBorder="1" applyAlignment="1">
      <alignment horizontal="center"/>
    </xf>
    <xf numFmtId="6" fontId="2" fillId="0" borderId="16" xfId="0" applyNumberFormat="1" applyFont="1" applyBorder="1" applyAlignment="1">
      <alignment horizontal="center"/>
    </xf>
    <xf numFmtId="6" fontId="2" fillId="0" borderId="11" xfId="0" applyNumberFormat="1" applyFont="1" applyBorder="1" applyAlignment="1">
      <alignment horizontal="center"/>
    </xf>
    <xf numFmtId="6" fontId="2" fillId="0" borderId="64" xfId="0" applyNumberFormat="1" applyFont="1" applyBorder="1" applyAlignment="1">
      <alignment horizontal="center"/>
    </xf>
    <xf numFmtId="6" fontId="2" fillId="0" borderId="33" xfId="0" applyNumberFormat="1" applyFont="1" applyBorder="1" applyAlignment="1">
      <alignment horizontal="center"/>
    </xf>
    <xf numFmtId="0" fontId="4" fillId="0" borderId="21" xfId="0" applyFont="1" applyBorder="1"/>
    <xf numFmtId="173" fontId="0" fillId="0" borderId="21" xfId="0" applyNumberFormat="1" applyBorder="1" applyAlignment="1">
      <alignment horizontal="center" vertical="center"/>
    </xf>
    <xf numFmtId="173" fontId="0" fillId="0" borderId="21" xfId="0" applyNumberFormat="1" applyBorder="1"/>
    <xf numFmtId="0" fontId="22" fillId="0" borderId="0" xfId="0" applyFont="1" applyAlignment="1">
      <alignment horizontal="center"/>
    </xf>
    <xf numFmtId="0" fontId="23" fillId="0" borderId="0" xfId="0" applyFont="1" applyAlignment="1">
      <alignment horizontal="center"/>
    </xf>
    <xf numFmtId="0" fontId="22" fillId="0" borderId="0" xfId="0" applyFont="1" applyAlignment="1">
      <alignment horizontal="center" vertical="center"/>
    </xf>
    <xf numFmtId="0" fontId="4" fillId="0" borderId="21" xfId="0" applyFont="1" applyBorder="1" applyAlignment="1">
      <alignment vertical="center"/>
    </xf>
    <xf numFmtId="0" fontId="0" fillId="0" borderId="21" xfId="0" applyBorder="1" applyAlignment="1">
      <alignment horizontal="center" vertical="center"/>
    </xf>
    <xf numFmtId="6" fontId="0" fillId="0" borderId="21" xfId="0" applyNumberFormat="1" applyBorder="1"/>
    <xf numFmtId="170" fontId="2" fillId="0" borderId="7" xfId="0" applyNumberFormat="1" applyFont="1" applyBorder="1" applyAlignment="1">
      <alignment horizontal="center"/>
    </xf>
    <xf numFmtId="6" fontId="2" fillId="0" borderId="29" xfId="0" applyNumberFormat="1" applyFont="1" applyBorder="1" applyAlignment="1">
      <alignment horizontal="center"/>
    </xf>
    <xf numFmtId="6" fontId="2" fillId="0" borderId="17" xfId="0" applyNumberFormat="1" applyFont="1" applyBorder="1" applyAlignment="1">
      <alignment horizontal="center"/>
    </xf>
    <xf numFmtId="3" fontId="2" fillId="0" borderId="12" xfId="0" applyNumberFormat="1" applyFont="1" applyBorder="1" applyAlignment="1">
      <alignment horizontal="center"/>
    </xf>
    <xf numFmtId="174" fontId="2" fillId="0" borderId="29" xfId="0" applyNumberFormat="1" applyFont="1" applyBorder="1" applyAlignment="1">
      <alignment horizontal="center"/>
    </xf>
    <xf numFmtId="174" fontId="2" fillId="0" borderId="45" xfId="0" applyNumberFormat="1" applyFont="1" applyBorder="1" applyAlignment="1">
      <alignment horizontal="center"/>
    </xf>
    <xf numFmtId="174" fontId="2" fillId="0" borderId="17" xfId="0" applyNumberFormat="1" applyFont="1" applyBorder="1" applyAlignment="1">
      <alignment horizontal="center"/>
    </xf>
    <xf numFmtId="6" fontId="2" fillId="0" borderId="59" xfId="0" applyNumberFormat="1" applyFont="1" applyBorder="1" applyAlignment="1">
      <alignment horizontal="center"/>
    </xf>
    <xf numFmtId="6" fontId="2" fillId="0" borderId="45" xfId="0" applyNumberFormat="1" applyFont="1" applyBorder="1" applyAlignment="1">
      <alignment horizontal="center"/>
    </xf>
    <xf numFmtId="6" fontId="2" fillId="0" borderId="12" xfId="0" applyNumberFormat="1" applyFont="1" applyBorder="1" applyAlignment="1">
      <alignment horizontal="center"/>
    </xf>
    <xf numFmtId="6" fontId="2" fillId="0" borderId="65" xfId="0" applyNumberFormat="1" applyFont="1" applyBorder="1" applyAlignment="1">
      <alignment horizontal="center"/>
    </xf>
    <xf numFmtId="6" fontId="3" fillId="0" borderId="0" xfId="0" applyNumberFormat="1" applyFont="1"/>
    <xf numFmtId="6" fontId="2" fillId="0" borderId="0" xfId="0" applyNumberFormat="1" applyFont="1" applyAlignment="1">
      <alignment horizontal="center"/>
    </xf>
    <xf numFmtId="0" fontId="24" fillId="0" borderId="0" xfId="0" applyFont="1"/>
    <xf numFmtId="0" fontId="4" fillId="0" borderId="0" xfId="0" applyFont="1" applyAlignment="1">
      <alignment horizontal="center" vertical="center" textRotation="90" wrapText="1"/>
    </xf>
    <xf numFmtId="0" fontId="0" fillId="5" borderId="21" xfId="0" applyFill="1" applyBorder="1" applyAlignment="1">
      <alignment horizontal="center" vertical="center"/>
    </xf>
    <xf numFmtId="6" fontId="0" fillId="5" borderId="21" xfId="0" applyNumberFormat="1" applyFill="1" applyBorder="1"/>
    <xf numFmtId="0" fontId="2" fillId="0" borderId="0" xfId="0" applyFont="1" applyAlignment="1">
      <alignment horizontal="right"/>
    </xf>
    <xf numFmtId="2" fontId="4" fillId="0" borderId="0" xfId="0" applyNumberFormat="1" applyFont="1"/>
    <xf numFmtId="6" fontId="2" fillId="0" borderId="0" xfId="0" applyNumberFormat="1" applyFont="1"/>
    <xf numFmtId="167" fontId="0" fillId="0" borderId="0" xfId="15" applyNumberFormat="1" applyFont="1"/>
    <xf numFmtId="9" fontId="0" fillId="0" borderId="0" xfId="0" applyNumberFormat="1"/>
    <xf numFmtId="0" fontId="4" fillId="0" borderId="28" xfId="0" applyFont="1" applyBorder="1" applyAlignment="1">
      <alignment horizontal="center" vertical="center" wrapText="1"/>
    </xf>
    <xf numFmtId="3" fontId="4" fillId="0" borderId="40" xfId="0" applyNumberFormat="1" applyFont="1" applyBorder="1" applyAlignment="1">
      <alignment horizontal="center" vertical="center" wrapText="1"/>
    </xf>
    <xf numFmtId="0" fontId="4" fillId="0" borderId="67" xfId="0" applyFont="1" applyBorder="1" applyAlignment="1">
      <alignment horizontal="center" vertical="center" wrapText="1"/>
    </xf>
    <xf numFmtId="0" fontId="4" fillId="0" borderId="10" xfId="0" applyFont="1" applyBorder="1" applyAlignment="1">
      <alignment horizontal="center" vertical="center" wrapText="1"/>
    </xf>
    <xf numFmtId="164" fontId="0" fillId="0" borderId="68" xfId="0" applyNumberFormat="1" applyBorder="1"/>
    <xf numFmtId="164" fontId="0" fillId="0" borderId="11" xfId="0" applyNumberFormat="1" applyBorder="1"/>
    <xf numFmtId="167" fontId="4" fillId="0" borderId="43" xfId="15" applyNumberFormat="1" applyFont="1" applyBorder="1"/>
    <xf numFmtId="164" fontId="4" fillId="0" borderId="43" xfId="15" applyNumberFormat="1" applyFont="1" applyBorder="1"/>
    <xf numFmtId="164" fontId="4" fillId="0" borderId="21" xfId="0" applyNumberFormat="1" applyFont="1" applyBorder="1" applyAlignment="1">
      <alignment horizontal="center" vertical="center"/>
    </xf>
    <xf numFmtId="0" fontId="4" fillId="0" borderId="0" xfId="0" applyFont="1" applyFill="1" applyBorder="1" applyAlignment="1">
      <alignment horizontal="left"/>
    </xf>
    <xf numFmtId="0" fontId="0" fillId="0" borderId="0" xfId="0"/>
    <xf numFmtId="173" fontId="25" fillId="6" borderId="21" xfId="20" applyNumberFormat="1" applyBorder="1" applyAlignment="1">
      <alignment horizontal="center" vertical="center"/>
    </xf>
    <xf numFmtId="0" fontId="16" fillId="0" borderId="0" xfId="18" applyAlignment="1">
      <alignment horizontal="left"/>
    </xf>
    <xf numFmtId="0" fontId="0" fillId="0" borderId="0" xfId="0"/>
    <xf numFmtId="1" fontId="0" fillId="0" borderId="21" xfId="1" applyNumberFormat="1" applyFont="1" applyFill="1" applyBorder="1" applyAlignment="1">
      <alignment horizontal="center"/>
    </xf>
    <xf numFmtId="164" fontId="0" fillId="0" borderId="9" xfId="0" applyNumberFormat="1" applyBorder="1"/>
    <xf numFmtId="164" fontId="2" fillId="0" borderId="58" xfId="0" applyNumberFormat="1" applyFont="1" applyBorder="1" applyAlignment="1">
      <alignment horizontal="center" vertical="center"/>
    </xf>
    <xf numFmtId="0" fontId="2" fillId="0" borderId="38" xfId="0" applyFont="1" applyFill="1" applyBorder="1" applyAlignment="1">
      <alignment horizontal="center" vertical="center" wrapText="1"/>
    </xf>
    <xf numFmtId="164" fontId="2" fillId="0" borderId="50" xfId="0" applyNumberFormat="1" applyFont="1" applyBorder="1" applyAlignment="1">
      <alignment horizontal="center" vertical="center" wrapText="1"/>
    </xf>
    <xf numFmtId="164" fontId="2" fillId="0" borderId="33" xfId="0" applyNumberFormat="1" applyFont="1" applyBorder="1" applyAlignment="1">
      <alignment horizontal="center" vertical="center" wrapText="1"/>
    </xf>
    <xf numFmtId="164" fontId="2" fillId="0" borderId="16" xfId="0" applyNumberFormat="1" applyFont="1" applyBorder="1" applyAlignment="1">
      <alignment horizontal="center" vertical="center" wrapText="1"/>
    </xf>
    <xf numFmtId="164" fontId="2" fillId="0" borderId="33" xfId="0" applyNumberFormat="1" applyFont="1" applyBorder="1" applyAlignment="1">
      <alignment horizontal="center" vertical="center"/>
    </xf>
    <xf numFmtId="164" fontId="2" fillId="0" borderId="29" xfId="0" applyNumberFormat="1" applyFont="1" applyBorder="1" applyAlignment="1">
      <alignment horizontal="center" vertical="center"/>
    </xf>
    <xf numFmtId="164" fontId="2" fillId="0" borderId="56" xfId="0" applyNumberFormat="1" applyFont="1" applyBorder="1" applyAlignment="1">
      <alignment horizontal="center" vertical="center" wrapText="1"/>
    </xf>
    <xf numFmtId="164" fontId="2" fillId="0" borderId="44" xfId="0" applyNumberFormat="1" applyFont="1" applyBorder="1" applyAlignment="1">
      <alignment horizontal="center" vertical="center" wrapText="1"/>
    </xf>
    <xf numFmtId="164" fontId="2" fillId="0" borderId="58" xfId="0" applyNumberFormat="1" applyFont="1" applyBorder="1" applyAlignment="1">
      <alignment horizontal="center" vertical="center" wrapText="1"/>
    </xf>
    <xf numFmtId="164" fontId="2" fillId="0" borderId="59" xfId="0" applyNumberFormat="1" applyFont="1" applyBorder="1" applyAlignment="1">
      <alignment horizontal="center" vertical="center"/>
    </xf>
    <xf numFmtId="43" fontId="0" fillId="0" borderId="0" xfId="0" applyNumberFormat="1"/>
    <xf numFmtId="0" fontId="26" fillId="0" borderId="0" xfId="0" applyFont="1" applyAlignment="1">
      <alignment horizontal="left" vertical="center" indent="5"/>
    </xf>
    <xf numFmtId="0" fontId="19" fillId="0" borderId="0" xfId="0" applyFont="1" applyAlignment="1">
      <alignment vertical="center"/>
    </xf>
    <xf numFmtId="0" fontId="28" fillId="0" borderId="0" xfId="0" applyFont="1" applyAlignment="1">
      <alignment horizontal="center" vertical="center"/>
    </xf>
    <xf numFmtId="0" fontId="16" fillId="0" borderId="0" xfId="18" applyFill="1" applyAlignment="1">
      <alignment vertical="top" wrapText="1"/>
    </xf>
    <xf numFmtId="0" fontId="0" fillId="0" borderId="21" xfId="0" applyFill="1" applyBorder="1" applyAlignment="1">
      <alignment horizontal="center"/>
    </xf>
    <xf numFmtId="0" fontId="0" fillId="0" borderId="21" xfId="0" applyFont="1" applyBorder="1" applyAlignment="1">
      <alignment horizontal="center"/>
    </xf>
    <xf numFmtId="0" fontId="0" fillId="0" borderId="0" xfId="0" applyFont="1" applyFill="1" applyBorder="1" applyAlignment="1">
      <alignment horizontal="center"/>
    </xf>
    <xf numFmtId="0" fontId="16" fillId="0" borderId="0" xfId="18" applyFill="1" applyAlignment="1">
      <alignment vertical="center" wrapText="1"/>
    </xf>
    <xf numFmtId="0" fontId="16" fillId="0" borderId="0" xfId="18" applyFill="1" applyBorder="1"/>
    <xf numFmtId="170" fontId="2" fillId="0" borderId="12" xfId="0" applyNumberFormat="1"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6" fontId="2" fillId="0" borderId="44" xfId="0" applyNumberFormat="1" applyFont="1" applyBorder="1" applyAlignment="1">
      <alignment horizontal="center"/>
    </xf>
    <xf numFmtId="170" fontId="2" fillId="0" borderId="11" xfId="0" applyNumberFormat="1" applyFont="1" applyBorder="1" applyAlignment="1">
      <alignment horizontal="center"/>
    </xf>
    <xf numFmtId="0" fontId="19" fillId="0" borderId="0" xfId="0" applyFont="1" applyFill="1" applyBorder="1" applyAlignment="1">
      <alignment horizontal="center"/>
    </xf>
    <xf numFmtId="0" fontId="29" fillId="0" borderId="0" xfId="18" applyFont="1"/>
    <xf numFmtId="164" fontId="0" fillId="0" borderId="21" xfId="1" applyNumberFormat="1" applyFont="1" applyFill="1" applyBorder="1" applyAlignment="1">
      <alignment horizontal="center"/>
    </xf>
    <xf numFmtId="10" fontId="0" fillId="0" borderId="21" xfId="16" applyNumberFormat="1" applyFont="1" applyBorder="1" applyAlignment="1">
      <alignment horizontal="center"/>
    </xf>
    <xf numFmtId="2" fontId="0" fillId="0" borderId="0" xfId="1" applyNumberFormat="1" applyFont="1" applyFill="1" applyBorder="1" applyAlignment="1">
      <alignment horizontal="left"/>
    </xf>
    <xf numFmtId="0" fontId="16" fillId="0" borderId="0" xfId="18" applyBorder="1" applyAlignment="1">
      <alignment horizontal="left"/>
    </xf>
    <xf numFmtId="0" fontId="0" fillId="0" borderId="0" xfId="0" applyBorder="1" applyAlignment="1">
      <alignment horizontal="left" vertical="top"/>
    </xf>
    <xf numFmtId="0" fontId="0" fillId="0" borderId="0" xfId="0"/>
    <xf numFmtId="0" fontId="0" fillId="0" borderId="0" xfId="0"/>
    <xf numFmtId="0" fontId="4" fillId="0" borderId="34" xfId="0" applyFont="1" applyBorder="1" applyAlignment="1">
      <alignment horizontal="center"/>
    </xf>
    <xf numFmtId="0" fontId="4" fillId="0" borderId="0" xfId="0" applyFont="1" applyFill="1" applyBorder="1" applyAlignment="1">
      <alignment horizontal="left"/>
    </xf>
    <xf numFmtId="0" fontId="0" fillId="0" borderId="0" xfId="0"/>
    <xf numFmtId="170" fontId="2" fillId="0" borderId="10" xfId="0" applyNumberFormat="1" applyFont="1" applyBorder="1" applyAlignment="1">
      <alignment horizontal="center"/>
    </xf>
    <xf numFmtId="9" fontId="0" fillId="0" borderId="21" xfId="16" applyFont="1" applyBorder="1" applyAlignment="1">
      <alignment horizontal="center"/>
    </xf>
    <xf numFmtId="8" fontId="0" fillId="0" borderId="21" xfId="0" applyNumberFormat="1" applyFont="1" applyBorder="1" applyAlignment="1">
      <alignment horizontal="center"/>
    </xf>
    <xf numFmtId="175" fontId="0" fillId="0" borderId="21" xfId="0" applyNumberFormat="1" applyFont="1" applyBorder="1" applyAlignment="1">
      <alignment horizontal="center"/>
    </xf>
    <xf numFmtId="0" fontId="0" fillId="0" borderId="21" xfId="0" applyFont="1" applyFill="1" applyBorder="1" applyAlignment="1">
      <alignment horizontal="center"/>
    </xf>
    <xf numFmtId="3" fontId="0" fillId="0" borderId="21" xfId="0" applyNumberFormat="1" applyFont="1" applyBorder="1" applyAlignment="1">
      <alignment horizontal="center"/>
    </xf>
    <xf numFmtId="0" fontId="0" fillId="0" borderId="0" xfId="0" applyFont="1" applyFill="1" applyBorder="1"/>
    <xf numFmtId="0" fontId="0" fillId="0" borderId="33" xfId="0" applyBorder="1" applyAlignment="1">
      <alignment horizontal="center"/>
    </xf>
    <xf numFmtId="0" fontId="21" fillId="0" borderId="0" xfId="19" applyFill="1"/>
    <xf numFmtId="164" fontId="2" fillId="0" borderId="40" xfId="15" applyNumberFormat="1" applyFont="1" applyBorder="1" applyAlignment="1">
      <alignment horizontal="right"/>
    </xf>
    <xf numFmtId="164" fontId="2" fillId="0" borderId="21" xfId="15" applyNumberFormat="1" applyFont="1" applyBorder="1" applyAlignment="1">
      <alignment horizontal="right"/>
    </xf>
    <xf numFmtId="164" fontId="2" fillId="0" borderId="45" xfId="15" applyNumberFormat="1" applyFont="1" applyBorder="1" applyAlignment="1">
      <alignment horizontal="right"/>
    </xf>
    <xf numFmtId="164" fontId="0" fillId="0" borderId="21" xfId="0" applyNumberFormat="1" applyBorder="1" applyAlignment="1">
      <alignment horizontal="right" vertical="center"/>
    </xf>
    <xf numFmtId="0" fontId="0" fillId="0" borderId="0" xfId="0" applyFill="1" applyBorder="1" applyAlignment="1">
      <alignment vertical="center"/>
    </xf>
    <xf numFmtId="168" fontId="0" fillId="0" borderId="51" xfId="0" applyNumberFormat="1" applyBorder="1"/>
    <xf numFmtId="168" fontId="0" fillId="0" borderId="31" xfId="0" applyNumberFormat="1" applyBorder="1"/>
    <xf numFmtId="168" fontId="10" fillId="0" borderId="0" xfId="0" applyNumberFormat="1" applyFont="1"/>
    <xf numFmtId="168" fontId="9" fillId="0" borderId="0" xfId="0" applyNumberFormat="1" applyFont="1" applyBorder="1" applyAlignment="1">
      <alignment horizontal="center"/>
    </xf>
    <xf numFmtId="168" fontId="0" fillId="0" borderId="0" xfId="0" applyNumberFormat="1" applyBorder="1" applyAlignment="1">
      <alignment horizontal="center"/>
    </xf>
    <xf numFmtId="168" fontId="4" fillId="2" borderId="51" xfId="0" applyNumberFormat="1" applyFont="1" applyFill="1" applyBorder="1" applyAlignment="1">
      <alignment horizontal="center"/>
    </xf>
    <xf numFmtId="168" fontId="4" fillId="2" borderId="31" xfId="0" applyNumberFormat="1" applyFont="1" applyFill="1" applyBorder="1" applyAlignment="1">
      <alignment horizontal="center"/>
    </xf>
    <xf numFmtId="2" fontId="4" fillId="2" borderId="51" xfId="0" applyNumberFormat="1" applyFont="1" applyFill="1" applyBorder="1" applyAlignment="1">
      <alignment horizontal="center"/>
    </xf>
    <xf numFmtId="44" fontId="0" fillId="0" borderId="21" xfId="1" applyFont="1" applyBorder="1" applyAlignment="1">
      <alignment horizontal="center"/>
    </xf>
    <xf numFmtId="0" fontId="0" fillId="0" borderId="21" xfId="0" applyFont="1" applyBorder="1"/>
    <xf numFmtId="0" fontId="16" fillId="0" borderId="21" xfId="18" applyFont="1" applyBorder="1"/>
    <xf numFmtId="0" fontId="0" fillId="0" borderId="0" xfId="0" applyFill="1" applyAlignment="1">
      <alignment vertical="center" wrapText="1"/>
    </xf>
    <xf numFmtId="0" fontId="12" fillId="0" borderId="0" xfId="0" applyFont="1" applyAlignment="1">
      <alignment horizontal="center" wrapText="1"/>
    </xf>
    <xf numFmtId="0" fontId="0" fillId="0" borderId="0" xfId="0" applyFill="1" applyAlignment="1">
      <alignment horizontal="left" vertical="top" wrapText="1"/>
    </xf>
    <xf numFmtId="0" fontId="4" fillId="0" borderId="0" xfId="0" applyFont="1" applyFill="1" applyBorder="1" applyAlignment="1">
      <alignment horizontal="left"/>
    </xf>
    <xf numFmtId="0" fontId="0" fillId="0" borderId="0" xfId="0" applyAlignment="1">
      <alignment horizontal="left" vertical="top"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7" fillId="0" borderId="23" xfId="0" applyFont="1" applyFill="1" applyBorder="1" applyAlignment="1">
      <alignment horizontal="center" wrapText="1"/>
    </xf>
    <xf numFmtId="0" fontId="7" fillId="0" borderId="44" xfId="0" applyFont="1" applyFill="1" applyBorder="1" applyAlignment="1">
      <alignment horizontal="center" wrapText="1"/>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1" xfId="0" applyFont="1" applyFill="1" applyBorder="1" applyAlignment="1">
      <alignment horizontal="center" wrapText="1"/>
    </xf>
    <xf numFmtId="0" fontId="7" fillId="0" borderId="18" xfId="0" applyFont="1" applyFill="1" applyBorder="1" applyAlignment="1">
      <alignment horizontal="left" vertical="center"/>
    </xf>
    <xf numFmtId="0" fontId="7" fillId="0" borderId="19" xfId="0" applyFont="1" applyFill="1" applyBorder="1" applyAlignment="1">
      <alignment horizontal="left" vertical="center"/>
    </xf>
    <xf numFmtId="0" fontId="7" fillId="0" borderId="20" xfId="0" applyFont="1" applyFill="1" applyBorder="1" applyAlignment="1">
      <alignment horizontal="left" vertical="center"/>
    </xf>
    <xf numFmtId="0" fontId="7" fillId="0" borderId="18" xfId="4" applyFont="1" applyFill="1" applyBorder="1" applyAlignment="1">
      <alignment horizontal="center" vertical="center"/>
    </xf>
    <xf numFmtId="0" fontId="7" fillId="0" borderId="19" xfId="4" applyFont="1" applyFill="1" applyBorder="1" applyAlignment="1">
      <alignment horizontal="center" vertical="center"/>
    </xf>
    <xf numFmtId="0" fontId="7" fillId="0" borderId="20" xfId="4" applyFont="1" applyFill="1" applyBorder="1" applyAlignment="1">
      <alignment horizontal="center" vertical="center"/>
    </xf>
    <xf numFmtId="0" fontId="4" fillId="0" borderId="0" xfId="0" applyFont="1" applyAlignment="1">
      <alignment horizontal="left"/>
    </xf>
    <xf numFmtId="0" fontId="0" fillId="0" borderId="0" xfId="0" applyAlignment="1">
      <alignment horizontal="center" vertical="center"/>
    </xf>
    <xf numFmtId="0" fontId="0" fillId="0" borderId="0" xfId="0"/>
    <xf numFmtId="0" fontId="0" fillId="0" borderId="66" xfId="0" applyBorder="1" applyAlignment="1">
      <alignment horizontal="center" vertical="center" wrapText="1"/>
    </xf>
    <xf numFmtId="0" fontId="0" fillId="0" borderId="0" xfId="0" applyBorder="1" applyAlignment="1">
      <alignment horizontal="center" vertical="center" wrapText="1"/>
    </xf>
    <xf numFmtId="0" fontId="22" fillId="0" borderId="0" xfId="18" applyFont="1" applyAlignment="1">
      <alignment horizontal="left" vertical="top" wrapText="1"/>
    </xf>
    <xf numFmtId="0" fontId="32" fillId="0" borderId="0" xfId="18" applyFont="1" applyAlignment="1">
      <alignment horizontal="left" vertical="top" wrapText="1"/>
    </xf>
    <xf numFmtId="0" fontId="4" fillId="0" borderId="34"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2" fillId="0" borderId="10"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0" fillId="0" borderId="66" xfId="0" applyBorder="1" applyAlignment="1">
      <alignment horizontal="left" vertical="top" wrapText="1"/>
    </xf>
    <xf numFmtId="0" fontId="2" fillId="0" borderId="53"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4" fillId="0" borderId="34" xfId="0" applyFont="1" applyBorder="1" applyAlignment="1">
      <alignment horizontal="center"/>
    </xf>
    <xf numFmtId="0" fontId="4" fillId="0" borderId="60" xfId="0" applyFont="1" applyBorder="1" applyAlignment="1">
      <alignment horizontal="center"/>
    </xf>
    <xf numFmtId="0" fontId="4" fillId="0" borderId="1" xfId="0" applyFont="1" applyBorder="1" applyAlignment="1">
      <alignment horizontal="center"/>
    </xf>
    <xf numFmtId="0" fontId="4" fillId="0" borderId="27" xfId="0" applyFont="1" applyBorder="1" applyAlignment="1">
      <alignment horizontal="center"/>
    </xf>
    <xf numFmtId="0" fontId="2" fillId="0" borderId="28" xfId="0" applyFont="1" applyBorder="1" applyAlignment="1">
      <alignment horizontal="center" vertical="center"/>
    </xf>
    <xf numFmtId="0" fontId="2" fillId="0" borderId="29" xfId="0" applyFont="1" applyBorder="1" applyAlignment="1">
      <alignment horizontal="center" vertical="center"/>
    </xf>
    <xf numFmtId="49" fontId="2" fillId="0" borderId="15" xfId="0" applyNumberFormat="1" applyFont="1" applyBorder="1" applyAlignment="1">
      <alignment horizontal="center" vertical="center" wrapText="1"/>
    </xf>
    <xf numFmtId="49" fontId="2" fillId="0" borderId="17" xfId="0" applyNumberFormat="1" applyFont="1" applyBorder="1" applyAlignment="1">
      <alignment horizontal="center" vertical="center" wrapText="1"/>
    </xf>
    <xf numFmtId="1" fontId="0" fillId="0" borderId="68" xfId="0" applyNumberFormat="1" applyBorder="1" applyAlignment="1">
      <alignment horizontal="center"/>
    </xf>
    <xf numFmtId="1" fontId="0" fillId="0" borderId="64" xfId="0" applyNumberFormat="1" applyBorder="1" applyAlignment="1">
      <alignment horizontal="center"/>
    </xf>
    <xf numFmtId="1" fontId="0" fillId="0" borderId="58" xfId="0" applyNumberFormat="1" applyBorder="1" applyAlignment="1">
      <alignment horizontal="center"/>
    </xf>
    <xf numFmtId="0" fontId="0" fillId="0" borderId="0" xfId="0" applyFill="1" applyAlignment="1">
      <alignment horizontal="left" vertical="center" wrapText="1"/>
    </xf>
    <xf numFmtId="0" fontId="25" fillId="6" borderId="69" xfId="20" applyBorder="1" applyAlignment="1">
      <alignment horizontal="center"/>
    </xf>
    <xf numFmtId="1" fontId="0" fillId="0" borderId="21" xfId="0" applyNumberFormat="1" applyBorder="1" applyAlignment="1">
      <alignment horizontal="center"/>
    </xf>
    <xf numFmtId="171" fontId="0" fillId="0" borderId="21" xfId="1" applyNumberFormat="1" applyFont="1" applyFill="1" applyBorder="1" applyAlignment="1">
      <alignment horizontal="center"/>
    </xf>
  </cellXfs>
  <cellStyles count="21">
    <cellStyle name="Bad" xfId="19" builtinId="27"/>
    <cellStyle name="Comma" xfId="15" builtinId="3"/>
    <cellStyle name="Comma 2" xfId="7" xr:uid="{00000000-0005-0000-0000-000001000000}"/>
    <cellStyle name="Comma0" xfId="8" xr:uid="{00000000-0005-0000-0000-000002000000}"/>
    <cellStyle name="Currency" xfId="1" builtinId="4"/>
    <cellStyle name="Currency0" xfId="9" xr:uid="{00000000-0005-0000-0000-000004000000}"/>
    <cellStyle name="Date" xfId="10" xr:uid="{00000000-0005-0000-0000-000005000000}"/>
    <cellStyle name="Fixed" xfId="11" xr:uid="{00000000-0005-0000-0000-000006000000}"/>
    <cellStyle name="Hyperlink" xfId="18" builtinId="8"/>
    <cellStyle name="Neutral" xfId="20" builtinId="28"/>
    <cellStyle name="Normal" xfId="0" builtinId="0"/>
    <cellStyle name="Normal 16" xfId="2" xr:uid="{00000000-0005-0000-0000-000009000000}"/>
    <cellStyle name="Normal 17" xfId="4" xr:uid="{00000000-0005-0000-0000-00000A000000}"/>
    <cellStyle name="Normal 18" xfId="3" xr:uid="{00000000-0005-0000-0000-00000B000000}"/>
    <cellStyle name="Normal 19" xfId="5" xr:uid="{00000000-0005-0000-0000-00000C000000}"/>
    <cellStyle name="Normal 2" xfId="6" xr:uid="{00000000-0005-0000-0000-00000D000000}"/>
    <cellStyle name="Normal 3" xfId="12" xr:uid="{00000000-0005-0000-0000-00000E000000}"/>
    <cellStyle name="Normal 4" xfId="13" xr:uid="{00000000-0005-0000-0000-00000F000000}"/>
    <cellStyle name="Normal 5" xfId="17" xr:uid="{00000000-0005-0000-0000-000010000000}"/>
    <cellStyle name="Percent" xfId="16" builtinId="5"/>
    <cellStyle name="Percent 2" xfId="14" xr:uid="{00000000-0005-0000-0000-000012000000}"/>
  </cellStyles>
  <dxfs count="0"/>
  <tableStyles count="0" defaultTableStyle="TableStyleMedium2" defaultPivotStyle="PivotStyleLight16"/>
  <colors>
    <mruColors>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290551</xdr:colOff>
      <xdr:row>24</xdr:row>
      <xdr:rowOff>39222</xdr:rowOff>
    </xdr:from>
    <xdr:to>
      <xdr:col>8</xdr:col>
      <xdr:colOff>55148</xdr:colOff>
      <xdr:row>52</xdr:row>
      <xdr:rowOff>145677</xdr:rowOff>
    </xdr:to>
    <xdr:grpSp>
      <xdr:nvGrpSpPr>
        <xdr:cNvPr id="28" name="Group 27">
          <a:extLst>
            <a:ext uri="{FF2B5EF4-FFF2-40B4-BE49-F238E27FC236}">
              <a16:creationId xmlns:a16="http://schemas.microsoft.com/office/drawing/2014/main" id="{F29F163A-BDC9-44C5-8B2D-66DAD6ADBF62}"/>
            </a:ext>
          </a:extLst>
        </xdr:cNvPr>
        <xdr:cNvGrpSpPr/>
      </xdr:nvGrpSpPr>
      <xdr:grpSpPr>
        <a:xfrm>
          <a:off x="5165110" y="5328398"/>
          <a:ext cx="8381920" cy="5429250"/>
          <a:chOff x="-3648993" y="3065667"/>
          <a:chExt cx="7804316" cy="6756590"/>
        </a:xfrm>
      </xdr:grpSpPr>
      <xdr:grpSp>
        <xdr:nvGrpSpPr>
          <xdr:cNvPr id="22" name="Group 21">
            <a:extLst>
              <a:ext uri="{FF2B5EF4-FFF2-40B4-BE49-F238E27FC236}">
                <a16:creationId xmlns:a16="http://schemas.microsoft.com/office/drawing/2014/main" id="{9C16F91D-1D7B-4CB1-82D3-7600C26B9782}"/>
              </a:ext>
            </a:extLst>
          </xdr:cNvPr>
          <xdr:cNvGrpSpPr/>
        </xdr:nvGrpSpPr>
        <xdr:grpSpPr>
          <a:xfrm>
            <a:off x="-3648993" y="3065667"/>
            <a:ext cx="7804316" cy="6756590"/>
            <a:chOff x="10829221" y="8012464"/>
            <a:chExt cx="9266415" cy="7771428"/>
          </a:xfrm>
        </xdr:grpSpPr>
        <xdr:pic>
          <xdr:nvPicPr>
            <xdr:cNvPr id="24" name="Picture 23">
              <a:extLst>
                <a:ext uri="{FF2B5EF4-FFF2-40B4-BE49-F238E27FC236}">
                  <a16:creationId xmlns:a16="http://schemas.microsoft.com/office/drawing/2014/main" id="{937AB842-99D6-4A3B-BDED-5FD625673666}"/>
                </a:ext>
              </a:extLst>
            </xdr:cNvPr>
            <xdr:cNvPicPr>
              <a:picLocks noChangeAspect="1"/>
            </xdr:cNvPicPr>
          </xdr:nvPicPr>
          <xdr:blipFill>
            <a:blip xmlns:r="http://schemas.openxmlformats.org/officeDocument/2006/relationships" r:embed="rId1"/>
            <a:stretch>
              <a:fillRect/>
            </a:stretch>
          </xdr:blipFill>
          <xdr:spPr>
            <a:xfrm>
              <a:off x="10829221" y="8012464"/>
              <a:ext cx="9266415" cy="7771428"/>
            </a:xfrm>
            <a:prstGeom prst="rect">
              <a:avLst/>
            </a:prstGeom>
          </xdr:spPr>
        </xdr:pic>
        <xdr:pic>
          <xdr:nvPicPr>
            <xdr:cNvPr id="25" name="Picture 24">
              <a:extLst>
                <a:ext uri="{FF2B5EF4-FFF2-40B4-BE49-F238E27FC236}">
                  <a16:creationId xmlns:a16="http://schemas.microsoft.com/office/drawing/2014/main" id="{0956EA58-4CCE-4FA1-A25F-FA794A831E6B}"/>
                </a:ext>
              </a:extLst>
            </xdr:cNvPr>
            <xdr:cNvPicPr>
              <a:picLocks noChangeAspect="1"/>
            </xdr:cNvPicPr>
          </xdr:nvPicPr>
          <xdr:blipFill>
            <a:blip xmlns:r="http://schemas.openxmlformats.org/officeDocument/2006/relationships" r:embed="rId2"/>
            <a:stretch>
              <a:fillRect/>
            </a:stretch>
          </xdr:blipFill>
          <xdr:spPr>
            <a:xfrm>
              <a:off x="11237979" y="14454828"/>
              <a:ext cx="4770618" cy="1037528"/>
            </a:xfrm>
            <a:prstGeom prst="rect">
              <a:avLst/>
            </a:prstGeom>
          </xdr:spPr>
        </xdr:pic>
      </xdr:grpSp>
      <xdr:pic>
        <xdr:nvPicPr>
          <xdr:cNvPr id="26" name="Picture 25">
            <a:extLst>
              <a:ext uri="{FF2B5EF4-FFF2-40B4-BE49-F238E27FC236}">
                <a16:creationId xmlns:a16="http://schemas.microsoft.com/office/drawing/2014/main" id="{A2FF2058-10A8-4266-B41F-97BBED82BC85}"/>
              </a:ext>
            </a:extLst>
          </xdr:cNvPr>
          <xdr:cNvPicPr>
            <a:picLocks noChangeAspect="1"/>
          </xdr:cNvPicPr>
        </xdr:nvPicPr>
        <xdr:blipFill>
          <a:blip xmlns:r="http://schemas.openxmlformats.org/officeDocument/2006/relationships" r:embed="rId3"/>
          <a:stretch>
            <a:fillRect/>
          </a:stretch>
        </xdr:blipFill>
        <xdr:spPr>
          <a:xfrm>
            <a:off x="1984366" y="7342023"/>
            <a:ext cx="1937561" cy="221584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201706</xdr:colOff>
      <xdr:row>5</xdr:row>
      <xdr:rowOff>0</xdr:rowOff>
    </xdr:from>
    <xdr:to>
      <xdr:col>15</xdr:col>
      <xdr:colOff>1193441</xdr:colOff>
      <xdr:row>18</xdr:row>
      <xdr:rowOff>111906</xdr:rowOff>
    </xdr:to>
    <xdr:pic>
      <xdr:nvPicPr>
        <xdr:cNvPr id="3" name="Picture 2">
          <a:extLst>
            <a:ext uri="{FF2B5EF4-FFF2-40B4-BE49-F238E27FC236}">
              <a16:creationId xmlns:a16="http://schemas.microsoft.com/office/drawing/2014/main" id="{84198A86-F352-4FBF-B4F1-AECA97387F7C}"/>
            </a:ext>
          </a:extLst>
        </xdr:cNvPr>
        <xdr:cNvPicPr>
          <a:picLocks noChangeAspect="1"/>
        </xdr:cNvPicPr>
      </xdr:nvPicPr>
      <xdr:blipFill>
        <a:blip xmlns:r="http://schemas.openxmlformats.org/officeDocument/2006/relationships" r:embed="rId1"/>
        <a:stretch>
          <a:fillRect/>
        </a:stretch>
      </xdr:blipFill>
      <xdr:spPr>
        <a:xfrm>
          <a:off x="12662647" y="1467971"/>
          <a:ext cx="4319882" cy="2622023"/>
        </a:xfrm>
        <a:prstGeom prst="rect">
          <a:avLst/>
        </a:prstGeom>
      </xdr:spPr>
    </xdr:pic>
    <xdr:clientData/>
  </xdr:twoCellAnchor>
  <xdr:twoCellAnchor editAs="oneCell">
    <xdr:from>
      <xdr:col>12</xdr:col>
      <xdr:colOff>1138998</xdr:colOff>
      <xdr:row>19</xdr:row>
      <xdr:rowOff>93649</xdr:rowOff>
    </xdr:from>
    <xdr:to>
      <xdr:col>15</xdr:col>
      <xdr:colOff>679118</xdr:colOff>
      <xdr:row>41</xdr:row>
      <xdr:rowOff>121697</xdr:rowOff>
    </xdr:to>
    <xdr:pic>
      <xdr:nvPicPr>
        <xdr:cNvPr id="4" name="Picture 3">
          <a:extLst>
            <a:ext uri="{FF2B5EF4-FFF2-40B4-BE49-F238E27FC236}">
              <a16:creationId xmlns:a16="http://schemas.microsoft.com/office/drawing/2014/main" id="{F5C08AA0-D1E3-42C4-BEE3-752EBC2B5944}"/>
            </a:ext>
          </a:extLst>
        </xdr:cNvPr>
        <xdr:cNvPicPr>
          <a:picLocks noChangeAspect="1"/>
        </xdr:cNvPicPr>
      </xdr:nvPicPr>
      <xdr:blipFill>
        <a:blip xmlns:r="http://schemas.openxmlformats.org/officeDocument/2006/relationships" r:embed="rId2"/>
        <a:stretch>
          <a:fillRect/>
        </a:stretch>
      </xdr:blipFill>
      <xdr:spPr>
        <a:xfrm>
          <a:off x="13599939" y="4262237"/>
          <a:ext cx="2868267" cy="4219048"/>
        </a:xfrm>
        <a:prstGeom prst="rect">
          <a:avLst/>
        </a:prstGeom>
      </xdr:spPr>
    </xdr:pic>
    <xdr:clientData/>
  </xdr:twoCellAnchor>
  <xdr:twoCellAnchor>
    <xdr:from>
      <xdr:col>6</xdr:col>
      <xdr:colOff>598715</xdr:colOff>
      <xdr:row>0</xdr:row>
      <xdr:rowOff>149678</xdr:rowOff>
    </xdr:from>
    <xdr:to>
      <xdr:col>12</xdr:col>
      <xdr:colOff>843643</xdr:colOff>
      <xdr:row>3</xdr:row>
      <xdr:rowOff>312964</xdr:rowOff>
    </xdr:to>
    <xdr:sp macro="" textlink="">
      <xdr:nvSpPr>
        <xdr:cNvPr id="30721" name="Text Box 1">
          <a:extLst>
            <a:ext uri="{FF2B5EF4-FFF2-40B4-BE49-F238E27FC236}">
              <a16:creationId xmlns:a16="http://schemas.microsoft.com/office/drawing/2014/main" id="{0BA3E118-B309-476B-B5AE-54DE3F4CCD6F}"/>
            </a:ext>
          </a:extLst>
        </xdr:cNvPr>
        <xdr:cNvSpPr txBox="1">
          <a:spLocks noChangeArrowheads="1"/>
        </xdr:cNvSpPr>
      </xdr:nvSpPr>
      <xdr:spPr bwMode="auto">
        <a:xfrm>
          <a:off x="17444358" y="149678"/>
          <a:ext cx="6463392" cy="1006929"/>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ctr" rtl="0">
            <a:defRPr sz="1000"/>
          </a:pPr>
          <a:r>
            <a:rPr lang="en-US" sz="2800" b="0" i="0" u="none" strike="noStrike" baseline="0">
              <a:solidFill>
                <a:srgbClr val="000000"/>
              </a:solidFill>
              <a:latin typeface="Calibri"/>
              <a:cs typeface="Calibri"/>
            </a:rPr>
            <a:t>Grams of Carbon Per Hour Idling</a:t>
          </a:r>
        </a:p>
        <a:p>
          <a:pPr algn="ctr" rtl="0">
            <a:defRPr sz="1000"/>
          </a:pPr>
          <a:r>
            <a:rPr lang="en-US" sz="2800" b="0" i="0" u="none" strike="noStrike">
              <a:effectLst/>
              <a:latin typeface="+mn-lt"/>
              <a:ea typeface="+mn-ea"/>
              <a:cs typeface="+mn-cs"/>
            </a:rPr>
            <a:t>7112.0000</a:t>
          </a:r>
          <a:r>
            <a:rPr lang="en-US" sz="2800">
              <a:latin typeface="+mn-lt"/>
            </a:rPr>
            <a:t> </a:t>
          </a:r>
          <a:r>
            <a:rPr lang="en-US" sz="2800" b="0" i="0" u="none" strike="noStrike" baseline="0">
              <a:solidFill>
                <a:srgbClr val="000000"/>
              </a:solidFill>
              <a:latin typeface="+mn-lt"/>
              <a:cs typeface="Calibri"/>
            </a:rPr>
            <a:t>=0.8 mpg*</a:t>
          </a:r>
          <a:r>
            <a:rPr lang="en-US" sz="2800" b="0" i="0" u="none" strike="noStrike" baseline="0">
              <a:solidFill>
                <a:srgbClr val="000000"/>
              </a:solidFill>
              <a:latin typeface="Calibri"/>
              <a:cs typeface="Calibri"/>
            </a:rPr>
            <a:t>8.89KG/gal*1000</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rans/Grant%20Applications/2021%20Grants/INFRA/SDDOT%20-%2014436/BCA/SDDOT%20I90%20BCA%20Workbo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Projects\09000\9228\TS\BCA\2016%20Update\Scott%20County%20BCA%20Workbook%20201604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ebapps.srfconsulting.com/Projects/09000/9228/TS/BCA/2016%20Update/Scott%20County%20BCA%20Workbook%202016040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Safety Benefits - Side Slope"/>
      <sheetName val="Safety Benefits - Extend Acel"/>
      <sheetName val="Travel Time Cost - Construction"/>
      <sheetName val="Travel Time Cost Savings-Detour"/>
      <sheetName val="Operating Cost-Detour"/>
      <sheetName val="Operating Cost-Roughness"/>
      <sheetName val="Air Quality"/>
      <sheetName val="Operation and Maintenance"/>
      <sheetName val="Capital Costs and RCV Calc"/>
      <sheetName val="Data from Needs Book"/>
      <sheetName val="05HQ - Associated Crash Data"/>
      <sheetName val="05T2 - Associated Crash Data"/>
      <sheetName val="05T3 - Associated Crash Data"/>
      <sheetName val="Remaining Service Life - Struct"/>
      <sheetName val="05HQ - Costs"/>
      <sheetName val="05T2 - Costs"/>
      <sheetName val="05T3 - Costs"/>
      <sheetName val="05HP - Costs"/>
      <sheetName val="Crashes By Project 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Nodal"/>
      <sheetName val="Operation Benefits (VMT)"/>
      <sheetName val="Safety Benefits"/>
      <sheetName val="Air Quality"/>
      <sheetName val="RCV Calc"/>
      <sheetName val="Operation and Maintenance"/>
      <sheetName val="RCV Calculato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Nodal"/>
      <sheetName val="Operation Benefits (VMT)"/>
      <sheetName val="Safety Benefits"/>
      <sheetName val="Air Quality"/>
      <sheetName val="RCV Calc"/>
      <sheetName val="Operation and Maintenance"/>
      <sheetName val="RCV Calculato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ridesmrt.com/" TargetMode="External"/><Relationship Id="rId2" Type="http://schemas.openxmlformats.org/officeDocument/2006/relationships/hyperlink" Target="https://uspirg.org/sites/pirg/files/reports/ElectricBusesInAmerica/US_Electric_bus_scrn.pdf" TargetMode="External"/><Relationship Id="rId1" Type="http://schemas.openxmlformats.org/officeDocument/2006/relationships/hyperlink" Target="https://uspirg.org/sites/pirg/files/reports/ElectricBusesInAmerica/US_Electric_bus_scrn.pdf" TargetMode="External"/><Relationship Id="rId5" Type="http://schemas.openxmlformats.org/officeDocument/2006/relationships/printerSettings" Target="../printerSettings/printerSettings10.bin"/><Relationship Id="rId4" Type="http://schemas.openxmlformats.org/officeDocument/2006/relationships/hyperlink" Target="https://ridesmrt.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isconsindot.gov/Documents/projects/multimodal/air/atw-eis.pdf"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census.gov/quickfacts/lacrossecountywisconsin" TargetMode="External"/><Relationship Id="rId1" Type="http://schemas.openxmlformats.org/officeDocument/2006/relationships/hyperlink" Target="https://www.oregon.gov/ODOT/Engineering/Docs_TrafficEng/CRF-Appendix.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https://files.dnr.state.mn.us/aboutdnr/reports/boating/mississippi2003.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modot.org/sites/default/files/documents/AppendixC1_BCA_TechnicalReport_I-44.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eia.gov/environment/emissions/co2_vol_mass.php" TargetMode="External"/><Relationship Id="rId1" Type="http://schemas.openxmlformats.org/officeDocument/2006/relationships/hyperlink" Target="https://afdc.energy.gov/files/u/publication/hdv_idling_2015.pdf" TargetMode="External"/><Relationship Id="rId4"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cmfclearinghouse.org/detail.cfm?facid=4924" TargetMode="External"/><Relationship Id="rId2" Type="http://schemas.openxmlformats.org/officeDocument/2006/relationships/hyperlink" Target="http://www.cmfclearinghouse.org/detail.cfm?facid=9250" TargetMode="External"/><Relationship Id="rId1" Type="http://schemas.openxmlformats.org/officeDocument/2006/relationships/hyperlink" Target="https://projects.srfconsulting.com/Build/La_Crosse/ReportEconomicImpactofBicyclinginLaCrosse.pdf" TargetMode="External"/><Relationship Id="rId6" Type="http://schemas.openxmlformats.org/officeDocument/2006/relationships/printerSettings" Target="../printerSettings/printerSettings5.bin"/><Relationship Id="rId5" Type="http://schemas.openxmlformats.org/officeDocument/2006/relationships/hyperlink" Target="https://www.vtpi.org/tca/tca0502.pdf" TargetMode="External"/><Relationship Id="rId4" Type="http://schemas.openxmlformats.org/officeDocument/2006/relationships/hyperlink" Target="https://wisconsindot.gov/Pages/projects/data-plan/traf-counts/default.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ia.gov/environment/emissions/co2_vol_mass.php" TargetMode="External"/><Relationship Id="rId1" Type="http://schemas.openxmlformats.org/officeDocument/2006/relationships/hyperlink" Target="http://onlinepubs.trb.org/onlinepubs/webinars/180913.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eia.gov/environment/emissions/co2_vol_mass.php" TargetMode="External"/><Relationship Id="rId1" Type="http://schemas.openxmlformats.org/officeDocument/2006/relationships/hyperlink" Target="https://www.eia.gov/environment/emissions/co2_vol_mass.php"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E9"/>
  <sheetViews>
    <sheetView view="pageBreakPreview" zoomScaleNormal="100" zoomScaleSheetLayoutView="100" workbookViewId="0">
      <selection activeCell="C39" sqref="C39:D39"/>
    </sheetView>
  </sheetViews>
  <sheetFormatPr defaultRowHeight="15" x14ac:dyDescent="0.25"/>
  <cols>
    <col min="2" max="2" width="35.140625" customWidth="1"/>
    <col min="3" max="3" width="13.42578125" customWidth="1"/>
  </cols>
  <sheetData>
    <row r="5" spans="2:5" x14ac:dyDescent="0.25">
      <c r="B5" s="16" t="s">
        <v>42</v>
      </c>
      <c r="C5" s="63"/>
      <c r="E5" s="67"/>
    </row>
    <row r="6" spans="2:5" x14ac:dyDescent="0.25">
      <c r="B6" s="64" t="s">
        <v>57</v>
      </c>
      <c r="C6" s="65">
        <v>2019</v>
      </c>
      <c r="E6" s="70"/>
    </row>
    <row r="7" spans="2:5" x14ac:dyDescent="0.25">
      <c r="E7" s="68"/>
    </row>
    <row r="8" spans="2:5" x14ac:dyDescent="0.25">
      <c r="E8" s="70"/>
    </row>
    <row r="9" spans="2:5" x14ac:dyDescent="0.25">
      <c r="E9" s="68"/>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6C0A3-CA79-43B0-86A5-19C4DA1A0CF7}">
  <sheetPr>
    <tabColor rgb="FF00B050"/>
    <pageSetUpPr fitToPage="1"/>
  </sheetPr>
  <dimension ref="A1:K79"/>
  <sheetViews>
    <sheetView view="pageBreakPreview" zoomScale="85" zoomScaleNormal="85" zoomScaleSheetLayoutView="85" workbookViewId="0">
      <selection activeCell="G4" sqref="G4"/>
    </sheetView>
  </sheetViews>
  <sheetFormatPr defaultColWidth="9.140625" defaultRowHeight="15" x14ac:dyDescent="0.25"/>
  <cols>
    <col min="1" max="1" width="3.7109375" style="211" customWidth="1"/>
    <col min="2" max="2" width="15.7109375" style="211" customWidth="1"/>
    <col min="3" max="3" width="18" style="211" bestFit="1" customWidth="1"/>
    <col min="4" max="5" width="15.7109375" style="211" customWidth="1"/>
    <col min="6" max="6" width="5.7109375" style="211" customWidth="1"/>
    <col min="7" max="7" width="51.7109375" style="211" customWidth="1"/>
    <col min="8" max="8" width="37.7109375" style="211" bestFit="1" customWidth="1"/>
    <col min="9" max="9" width="48.7109375" style="211" customWidth="1"/>
    <col min="10" max="10" width="11" style="211" customWidth="1"/>
    <col min="11" max="16384" width="9.140625" style="211"/>
  </cols>
  <sheetData>
    <row r="1" spans="1:11" x14ac:dyDescent="0.25">
      <c r="A1" s="14"/>
      <c r="B1" s="14"/>
      <c r="C1" s="14"/>
      <c r="D1" s="14"/>
      <c r="E1" s="14"/>
    </row>
    <row r="2" spans="1:11" x14ac:dyDescent="0.25">
      <c r="B2" s="151"/>
    </row>
    <row r="3" spans="1:11" x14ac:dyDescent="0.25">
      <c r="B3" s="151"/>
    </row>
    <row r="4" spans="1:11" ht="15.75" thickBot="1" x14ac:dyDescent="0.3">
      <c r="C4" s="158"/>
      <c r="D4" s="113"/>
      <c r="E4" s="113"/>
      <c r="H4" s="56"/>
    </row>
    <row r="5" spans="1:11" ht="35.1" customHeight="1" x14ac:dyDescent="0.25">
      <c r="B5" s="372" t="s">
        <v>0</v>
      </c>
      <c r="C5" s="376" t="s">
        <v>288</v>
      </c>
      <c r="D5" s="376" t="s">
        <v>2</v>
      </c>
      <c r="E5" s="378" t="s">
        <v>1</v>
      </c>
      <c r="G5" s="56"/>
      <c r="I5" s="20"/>
    </row>
    <row r="6" spans="1:11" ht="43.5" customHeight="1" thickBot="1" x14ac:dyDescent="0.3">
      <c r="B6" s="373"/>
      <c r="C6" s="377"/>
      <c r="D6" s="377"/>
      <c r="E6" s="379"/>
      <c r="I6" s="41"/>
    </row>
    <row r="7" spans="1:11" ht="18" customHeight="1" x14ac:dyDescent="0.25">
      <c r="B7" s="1">
        <f>'D_EV Charging Costs'!I10</f>
        <v>2023</v>
      </c>
      <c r="C7" s="114">
        <f t="shared" ref="C7:C16" si="0">TREND($H$16:$H$17,$G$16:$G$17,B7)-TREND($I$16:$I$17,$G$16:$G$17,B7)</f>
        <v>75422.760000000009</v>
      </c>
      <c r="D7" s="80">
        <f t="shared" ref="D7:D26" si="1">SUM(C7:C7)</f>
        <v>75422.760000000009</v>
      </c>
      <c r="E7" s="83">
        <f>D7*(1+0.05)^-($B7-'Global Assumptions'!$C$6)</f>
        <v>62050.491307634169</v>
      </c>
      <c r="G7" s="338" t="s">
        <v>348</v>
      </c>
      <c r="I7" s="328" t="s">
        <v>132</v>
      </c>
    </row>
    <row r="8" spans="1:11" ht="15" customHeight="1" x14ac:dyDescent="0.25">
      <c r="B8" s="2">
        <f>B7+1</f>
        <v>2024</v>
      </c>
      <c r="C8" s="117">
        <f t="shared" si="0"/>
        <v>75422.760000000009</v>
      </c>
      <c r="D8" s="81">
        <f t="shared" si="1"/>
        <v>75422.760000000009</v>
      </c>
      <c r="E8" s="84">
        <f>D8*(1+0.07)^-($B8-'Global Assumptions'!$C$6)</f>
        <v>53775.38549851365</v>
      </c>
      <c r="G8" s="160" t="s">
        <v>286</v>
      </c>
      <c r="H8" s="362">
        <v>1.53</v>
      </c>
      <c r="I8" s="320" t="s">
        <v>237</v>
      </c>
      <c r="J8" s="158" t="s">
        <v>323</v>
      </c>
      <c r="K8" s="320"/>
    </row>
    <row r="9" spans="1:11" ht="15" customHeight="1" x14ac:dyDescent="0.25">
      <c r="B9" s="2">
        <f t="shared" ref="B9:B36" si="2">B8+1</f>
        <v>2025</v>
      </c>
      <c r="C9" s="117">
        <f t="shared" si="0"/>
        <v>75422.760000000009</v>
      </c>
      <c r="D9" s="81">
        <f t="shared" si="1"/>
        <v>75422.760000000009</v>
      </c>
      <c r="E9" s="84">
        <f>D9*(1+0.07)^-($B9-'Global Assumptions'!$C$6)</f>
        <v>50257.369624779116</v>
      </c>
      <c r="G9" s="160" t="s">
        <v>195</v>
      </c>
      <c r="H9" s="362">
        <v>0.55000000000000004</v>
      </c>
      <c r="I9" s="320" t="s">
        <v>237</v>
      </c>
      <c r="J9" s="158" t="s">
        <v>323</v>
      </c>
      <c r="K9" s="320"/>
    </row>
    <row r="10" spans="1:11" x14ac:dyDescent="0.25">
      <c r="B10" s="2">
        <f t="shared" si="2"/>
        <v>2026</v>
      </c>
      <c r="C10" s="117">
        <f t="shared" si="0"/>
        <v>75422.760000000009</v>
      </c>
      <c r="D10" s="81">
        <f t="shared" si="1"/>
        <v>75422.760000000009</v>
      </c>
      <c r="E10" s="84">
        <f>D10*(1+0.07)^-($B10-'Global Assumptions'!$C$6)</f>
        <v>46969.504322223467</v>
      </c>
      <c r="G10" s="160" t="s">
        <v>196</v>
      </c>
      <c r="H10" s="94">
        <v>303</v>
      </c>
      <c r="I10" s="321" t="s">
        <v>298</v>
      </c>
      <c r="J10" s="320"/>
      <c r="K10" s="320"/>
    </row>
    <row r="11" spans="1:11" ht="15" customHeight="1" x14ac:dyDescent="0.25">
      <c r="B11" s="2">
        <f t="shared" si="2"/>
        <v>2027</v>
      </c>
      <c r="C11" s="117">
        <f t="shared" si="0"/>
        <v>75422.760000000009</v>
      </c>
      <c r="D11" s="81">
        <f t="shared" si="1"/>
        <v>75422.760000000009</v>
      </c>
      <c r="E11" s="84">
        <f>D11*(1+0.07)^-($B11-'Global Assumptions'!$C$6)</f>
        <v>43896.733011423799</v>
      </c>
      <c r="G11" s="160" t="s">
        <v>197</v>
      </c>
      <c r="H11" s="94">
        <f>5*52-6</f>
        <v>254</v>
      </c>
      <c r="I11" s="321" t="s">
        <v>298</v>
      </c>
      <c r="J11" s="158"/>
    </row>
    <row r="12" spans="1:11" x14ac:dyDescent="0.25">
      <c r="B12" s="2">
        <f t="shared" si="2"/>
        <v>2028</v>
      </c>
      <c r="C12" s="117">
        <f t="shared" si="0"/>
        <v>75422.760000000009</v>
      </c>
      <c r="D12" s="81">
        <f t="shared" si="1"/>
        <v>75422.760000000009</v>
      </c>
      <c r="E12" s="84">
        <f>D12*(1+0.07)^-($B12-'Global Assumptions'!$C$6)</f>
        <v>41024.984122825983</v>
      </c>
    </row>
    <row r="13" spans="1:11" ht="15" customHeight="1" x14ac:dyDescent="0.25">
      <c r="B13" s="2">
        <f t="shared" si="2"/>
        <v>2029</v>
      </c>
      <c r="C13" s="117">
        <f t="shared" si="0"/>
        <v>75422.760000000009</v>
      </c>
      <c r="D13" s="81">
        <f t="shared" si="1"/>
        <v>75422.760000000009</v>
      </c>
      <c r="E13" s="84">
        <f>D13*(1+0.07)^-($B13-'Global Assumptions'!$C$6)</f>
        <v>38341.106656846714</v>
      </c>
    </row>
    <row r="14" spans="1:11" ht="15" customHeight="1" x14ac:dyDescent="0.25">
      <c r="B14" s="2">
        <f t="shared" si="2"/>
        <v>2030</v>
      </c>
      <c r="C14" s="117">
        <f t="shared" si="0"/>
        <v>75422.760000000009</v>
      </c>
      <c r="D14" s="81">
        <f t="shared" si="1"/>
        <v>75422.760000000009</v>
      </c>
      <c r="E14" s="84">
        <f>D14*(1+0.07)^-($B14-'Global Assumptions'!$C$6)</f>
        <v>35832.809959669823</v>
      </c>
      <c r="G14" s="186" t="s">
        <v>349</v>
      </c>
      <c r="H14" s="186"/>
    </row>
    <row r="15" spans="1:11" ht="15" customHeight="1" x14ac:dyDescent="0.25">
      <c r="B15" s="2">
        <f t="shared" si="2"/>
        <v>2031</v>
      </c>
      <c r="C15" s="117">
        <f t="shared" si="0"/>
        <v>75422.760000000009</v>
      </c>
      <c r="D15" s="81">
        <f t="shared" si="1"/>
        <v>75422.760000000009</v>
      </c>
      <c r="E15" s="84">
        <f>D15*(1+0.07)^-($B15-'Global Assumptions'!$C$6)</f>
        <v>33488.607438943764</v>
      </c>
      <c r="G15" s="228" t="s">
        <v>46</v>
      </c>
      <c r="H15" s="228" t="s">
        <v>287</v>
      </c>
      <c r="I15" s="228" t="s">
        <v>198</v>
      </c>
      <c r="J15" s="42"/>
      <c r="K15" s="42"/>
    </row>
    <row r="16" spans="1:11" x14ac:dyDescent="0.25">
      <c r="B16" s="2">
        <f t="shared" si="2"/>
        <v>2032</v>
      </c>
      <c r="C16" s="117">
        <f t="shared" si="0"/>
        <v>75422.760000000009</v>
      </c>
      <c r="D16" s="81">
        <f t="shared" si="1"/>
        <v>75422.760000000009</v>
      </c>
      <c r="E16" s="84">
        <f>D16*(1+0.07)^-($B16-'Global Assumptions'!$C$6)</f>
        <v>31297.76396162968</v>
      </c>
      <c r="G16" s="317">
        <v>2021</v>
      </c>
      <c r="H16" s="330">
        <f>$H$8*$H$10*$H$11</f>
        <v>117751.86000000002</v>
      </c>
      <c r="I16" s="330">
        <f>$H$9*$H$10*$H$11</f>
        <v>42329.1</v>
      </c>
    </row>
    <row r="17" spans="2:9" ht="15" customHeight="1" x14ac:dyDescent="0.25">
      <c r="B17" s="2">
        <f t="shared" si="2"/>
        <v>2033</v>
      </c>
      <c r="C17" s="117">
        <v>0</v>
      </c>
      <c r="D17" s="81">
        <f t="shared" si="1"/>
        <v>0</v>
      </c>
      <c r="E17" s="84">
        <f>D17*(1+0.07)^-($B17-'Global Assumptions'!$C$6)</f>
        <v>0</v>
      </c>
      <c r="G17" s="317">
        <v>2040</v>
      </c>
      <c r="H17" s="330">
        <f>$H$8*$H$10*$H$11</f>
        <v>117751.86000000002</v>
      </c>
      <c r="I17" s="330">
        <f>$H$9*$H$10*$H$11</f>
        <v>42329.1</v>
      </c>
    </row>
    <row r="18" spans="2:9" x14ac:dyDescent="0.25">
      <c r="B18" s="2">
        <f t="shared" si="2"/>
        <v>2034</v>
      </c>
      <c r="C18" s="117">
        <v>0</v>
      </c>
      <c r="D18" s="81">
        <f t="shared" si="1"/>
        <v>0</v>
      </c>
      <c r="E18" s="84">
        <f>D18*(1+0.07)^-($B18-'Global Assumptions'!$C$6)</f>
        <v>0</v>
      </c>
    </row>
    <row r="19" spans="2:9" ht="15" customHeight="1" x14ac:dyDescent="0.25">
      <c r="B19" s="2">
        <f t="shared" si="2"/>
        <v>2035</v>
      </c>
      <c r="C19" s="117">
        <v>0</v>
      </c>
      <c r="D19" s="81">
        <f t="shared" si="1"/>
        <v>0</v>
      </c>
      <c r="E19" s="84">
        <f>D19*(1+0.07)^-($B19-'Global Assumptions'!$C$6)</f>
        <v>0</v>
      </c>
    </row>
    <row r="20" spans="2:9" x14ac:dyDescent="0.25">
      <c r="B20" s="2">
        <f t="shared" si="2"/>
        <v>2036</v>
      </c>
      <c r="C20" s="117">
        <v>0</v>
      </c>
      <c r="D20" s="81">
        <f t="shared" si="1"/>
        <v>0</v>
      </c>
      <c r="E20" s="84">
        <f>D20*(1+0.07)^-($B20-'Global Assumptions'!$C$6)</f>
        <v>0</v>
      </c>
    </row>
    <row r="21" spans="2:9" ht="15" customHeight="1" x14ac:dyDescent="0.25">
      <c r="B21" s="2">
        <f t="shared" si="2"/>
        <v>2037</v>
      </c>
      <c r="C21" s="117">
        <v>0</v>
      </c>
      <c r="D21" s="81">
        <f t="shared" si="1"/>
        <v>0</v>
      </c>
      <c r="E21" s="84">
        <f>D21*(1+0.07)^-($B21-'Global Assumptions'!$C$6)</f>
        <v>0</v>
      </c>
      <c r="G21" s="295"/>
      <c r="H21" s="295"/>
      <c r="I21" s="295"/>
    </row>
    <row r="22" spans="2:9" x14ac:dyDescent="0.25">
      <c r="B22" s="2">
        <f t="shared" si="2"/>
        <v>2038</v>
      </c>
      <c r="C22" s="117">
        <v>0</v>
      </c>
      <c r="D22" s="81">
        <f t="shared" si="1"/>
        <v>0</v>
      </c>
      <c r="E22" s="84">
        <f>D22*(1+0.07)^-($B22-'Global Assumptions'!$C$6)</f>
        <v>0</v>
      </c>
      <c r="G22" s="295"/>
      <c r="H22" s="295"/>
      <c r="I22" s="295"/>
    </row>
    <row r="23" spans="2:9" ht="15" customHeight="1" x14ac:dyDescent="0.25">
      <c r="B23" s="2">
        <f t="shared" si="2"/>
        <v>2039</v>
      </c>
      <c r="C23" s="117">
        <v>0</v>
      </c>
      <c r="D23" s="81">
        <f t="shared" si="1"/>
        <v>0</v>
      </c>
      <c r="E23" s="84">
        <f>D23*(1+0.07)^-($B23-'Global Assumptions'!$C$6)</f>
        <v>0</v>
      </c>
      <c r="G23" s="295"/>
      <c r="H23" s="295"/>
      <c r="I23" s="295"/>
    </row>
    <row r="24" spans="2:9" x14ac:dyDescent="0.25">
      <c r="B24" s="2">
        <f t="shared" si="2"/>
        <v>2040</v>
      </c>
      <c r="C24" s="117">
        <v>0</v>
      </c>
      <c r="D24" s="81">
        <f t="shared" si="1"/>
        <v>0</v>
      </c>
      <c r="E24" s="84">
        <f>D24*(1+0.07)^-($B24-'Global Assumptions'!$C$6)</f>
        <v>0</v>
      </c>
      <c r="G24" s="295"/>
      <c r="H24" s="295"/>
      <c r="I24" s="295"/>
    </row>
    <row r="25" spans="2:9" ht="15" customHeight="1" x14ac:dyDescent="0.25">
      <c r="B25" s="2">
        <f t="shared" si="2"/>
        <v>2041</v>
      </c>
      <c r="C25" s="117">
        <v>0</v>
      </c>
      <c r="D25" s="81">
        <f t="shared" si="1"/>
        <v>0</v>
      </c>
      <c r="E25" s="84">
        <f>D25*(1+0.07)^-($B25-'Global Assumptions'!$C$6)</f>
        <v>0</v>
      </c>
    </row>
    <row r="26" spans="2:9" x14ac:dyDescent="0.25">
      <c r="B26" s="2">
        <f t="shared" si="2"/>
        <v>2042</v>
      </c>
      <c r="C26" s="117">
        <v>0</v>
      </c>
      <c r="D26" s="81">
        <f t="shared" si="1"/>
        <v>0</v>
      </c>
      <c r="E26" s="84">
        <f>D26*(1+0.07)^-($B26-'Global Assumptions'!$C$6)</f>
        <v>0</v>
      </c>
    </row>
    <row r="27" spans="2:9" x14ac:dyDescent="0.25">
      <c r="B27" s="2">
        <f t="shared" si="2"/>
        <v>2043</v>
      </c>
      <c r="C27" s="117">
        <v>0</v>
      </c>
      <c r="D27" s="81">
        <f t="shared" ref="D27:D36" si="3">SUM(C27:C27)</f>
        <v>0</v>
      </c>
      <c r="E27" s="84">
        <f>D27*(1+0.07)^-($B27-'Global Assumptions'!$C$6)</f>
        <v>0</v>
      </c>
    </row>
    <row r="28" spans="2:9" x14ac:dyDescent="0.25">
      <c r="B28" s="2">
        <f t="shared" si="2"/>
        <v>2044</v>
      </c>
      <c r="C28" s="117">
        <v>0</v>
      </c>
      <c r="D28" s="81">
        <f t="shared" si="3"/>
        <v>0</v>
      </c>
      <c r="E28" s="84">
        <f>D28*(1+0.07)^-($B28-'Global Assumptions'!$C$6)</f>
        <v>0</v>
      </c>
    </row>
    <row r="29" spans="2:9" x14ac:dyDescent="0.25">
      <c r="B29" s="2">
        <f t="shared" si="2"/>
        <v>2045</v>
      </c>
      <c r="C29" s="117">
        <v>0</v>
      </c>
      <c r="D29" s="81">
        <f t="shared" si="3"/>
        <v>0</v>
      </c>
      <c r="E29" s="84">
        <f>D29*(1+0.07)^-($B29-'Global Assumptions'!$C$6)</f>
        <v>0</v>
      </c>
    </row>
    <row r="30" spans="2:9" x14ac:dyDescent="0.25">
      <c r="B30" s="2">
        <f t="shared" si="2"/>
        <v>2046</v>
      </c>
      <c r="C30" s="117">
        <v>0</v>
      </c>
      <c r="D30" s="81">
        <f t="shared" si="3"/>
        <v>0</v>
      </c>
      <c r="E30" s="84">
        <f>D30*(1+0.07)^-($B30-'Global Assumptions'!$C$6)</f>
        <v>0</v>
      </c>
    </row>
    <row r="31" spans="2:9" ht="14.25" customHeight="1" x14ac:dyDescent="0.25">
      <c r="B31" s="2">
        <f t="shared" si="2"/>
        <v>2047</v>
      </c>
      <c r="C31" s="117">
        <v>0</v>
      </c>
      <c r="D31" s="81">
        <f t="shared" si="3"/>
        <v>0</v>
      </c>
      <c r="E31" s="84">
        <f>D31*(1+0.07)^-($B31-'Global Assumptions'!$C$6)</f>
        <v>0</v>
      </c>
    </row>
    <row r="32" spans="2:9" x14ac:dyDescent="0.25">
      <c r="B32" s="2">
        <f t="shared" si="2"/>
        <v>2048</v>
      </c>
      <c r="C32" s="117">
        <v>0</v>
      </c>
      <c r="D32" s="81">
        <f t="shared" si="3"/>
        <v>0</v>
      </c>
      <c r="E32" s="84">
        <f>D32*(1+0.07)^-($B32-'Global Assumptions'!$C$6)</f>
        <v>0</v>
      </c>
    </row>
    <row r="33" spans="1:8" x14ac:dyDescent="0.25">
      <c r="B33" s="2">
        <f t="shared" si="2"/>
        <v>2049</v>
      </c>
      <c r="C33" s="117">
        <v>0</v>
      </c>
      <c r="D33" s="81">
        <f t="shared" si="3"/>
        <v>0</v>
      </c>
      <c r="E33" s="84">
        <f>D33*(1+0.07)^-($B33-'Global Assumptions'!$C$6)</f>
        <v>0</v>
      </c>
    </row>
    <row r="34" spans="1:8" x14ac:dyDescent="0.25">
      <c r="B34" s="2">
        <f t="shared" si="2"/>
        <v>2050</v>
      </c>
      <c r="C34" s="117">
        <v>0</v>
      </c>
      <c r="D34" s="81">
        <f t="shared" si="3"/>
        <v>0</v>
      </c>
      <c r="E34" s="84">
        <f>D34*(1+0.07)^-($B34-'Global Assumptions'!$C$6)</f>
        <v>0</v>
      </c>
    </row>
    <row r="35" spans="1:8" x14ac:dyDescent="0.25">
      <c r="B35" s="2">
        <f t="shared" si="2"/>
        <v>2051</v>
      </c>
      <c r="C35" s="117">
        <v>0</v>
      </c>
      <c r="D35" s="81">
        <f t="shared" si="3"/>
        <v>0</v>
      </c>
      <c r="E35" s="84">
        <f>D35*(1+0.07)^-($B35-'Global Assumptions'!$C$6)</f>
        <v>0</v>
      </c>
    </row>
    <row r="36" spans="1:8" ht="15" customHeight="1" thickBot="1" x14ac:dyDescent="0.3">
      <c r="B36" s="3">
        <f t="shared" si="2"/>
        <v>2052</v>
      </c>
      <c r="C36" s="120">
        <v>0</v>
      </c>
      <c r="D36" s="91">
        <f t="shared" si="3"/>
        <v>0</v>
      </c>
      <c r="E36" s="85">
        <f>D36*(1+0.07)^-($B36-'Global Assumptions'!$C$6)</f>
        <v>0</v>
      </c>
    </row>
    <row r="37" spans="1:8" ht="15" customHeight="1" thickBot="1" x14ac:dyDescent="0.3">
      <c r="B37" s="4"/>
      <c r="C37" s="51"/>
      <c r="D37" s="125" t="s">
        <v>2</v>
      </c>
      <c r="E37" s="86">
        <f>SUM(E7:E36)</f>
        <v>436934.75590449013</v>
      </c>
    </row>
    <row r="38" spans="1:8" ht="15" customHeight="1" x14ac:dyDescent="0.25"/>
    <row r="39" spans="1:8" x14ac:dyDescent="0.25">
      <c r="B39" s="15" t="s">
        <v>3</v>
      </c>
      <c r="E39" s="19"/>
      <c r="G39" s="280"/>
      <c r="H39" s="282"/>
    </row>
    <row r="40" spans="1:8" ht="15" customHeight="1" x14ac:dyDescent="0.25">
      <c r="A40" s="152" t="s">
        <v>24</v>
      </c>
      <c r="B40" s="369" t="s">
        <v>330</v>
      </c>
      <c r="C40" s="369"/>
      <c r="D40" s="369"/>
      <c r="E40" s="369"/>
      <c r="G40" s="152"/>
      <c r="H40" s="282"/>
    </row>
    <row r="41" spans="1:8" ht="15" customHeight="1" x14ac:dyDescent="0.25">
      <c r="B41" s="369"/>
      <c r="C41" s="369"/>
      <c r="D41" s="369"/>
      <c r="E41" s="369"/>
      <c r="G41" s="152"/>
      <c r="H41" s="281"/>
    </row>
    <row r="42" spans="1:8" ht="15" customHeight="1" x14ac:dyDescent="0.25">
      <c r="B42" s="369"/>
      <c r="C42" s="369"/>
      <c r="D42" s="369"/>
      <c r="E42" s="369"/>
    </row>
    <row r="43" spans="1:8" ht="15" customHeight="1" x14ac:dyDescent="0.25">
      <c r="B43" s="369"/>
      <c r="C43" s="369"/>
      <c r="D43" s="369"/>
      <c r="E43" s="369"/>
      <c r="G43" s="151"/>
    </row>
    <row r="44" spans="1:8" ht="15" customHeight="1" x14ac:dyDescent="0.25">
      <c r="B44" s="369"/>
      <c r="C44" s="369"/>
      <c r="D44" s="369"/>
      <c r="E44" s="369"/>
    </row>
    <row r="45" spans="1:8" x14ac:dyDescent="0.25">
      <c r="B45" s="369"/>
      <c r="C45" s="369"/>
      <c r="D45" s="369"/>
      <c r="E45" s="369"/>
      <c r="F45" s="187"/>
    </row>
    <row r="46" spans="1:8" x14ac:dyDescent="0.25">
      <c r="B46" s="369"/>
      <c r="C46" s="369"/>
      <c r="D46" s="369"/>
      <c r="E46" s="369"/>
      <c r="F46" s="187"/>
      <c r="G46" s="151"/>
    </row>
    <row r="47" spans="1:8" x14ac:dyDescent="0.25">
      <c r="B47" s="316"/>
      <c r="C47" s="316"/>
      <c r="D47" s="316"/>
      <c r="E47" s="316"/>
      <c r="F47" s="187"/>
    </row>
    <row r="48" spans="1:8" ht="15" customHeight="1" x14ac:dyDescent="0.25">
      <c r="A48" s="152" t="s">
        <v>23</v>
      </c>
      <c r="B48" s="369" t="s">
        <v>329</v>
      </c>
      <c r="C48" s="369"/>
      <c r="D48" s="369"/>
      <c r="E48" s="369"/>
      <c r="F48" s="187"/>
    </row>
    <row r="49" spans="1:8" x14ac:dyDescent="0.25">
      <c r="B49" s="369"/>
      <c r="C49" s="369"/>
      <c r="D49" s="369"/>
      <c r="E49" s="369"/>
      <c r="F49" s="187"/>
    </row>
    <row r="50" spans="1:8" x14ac:dyDescent="0.25">
      <c r="A50" s="152"/>
      <c r="B50" s="369"/>
      <c r="C50" s="369"/>
      <c r="D50" s="369"/>
      <c r="E50" s="369"/>
      <c r="F50" s="187"/>
    </row>
    <row r="51" spans="1:8" x14ac:dyDescent="0.25">
      <c r="A51" s="152"/>
      <c r="B51" s="369"/>
      <c r="C51" s="369"/>
      <c r="D51" s="369"/>
      <c r="E51" s="369"/>
      <c r="F51" s="187"/>
    </row>
    <row r="52" spans="1:8" x14ac:dyDescent="0.25">
      <c r="A52" s="152"/>
      <c r="B52" s="369"/>
      <c r="C52" s="369"/>
      <c r="D52" s="369"/>
      <c r="E52" s="369"/>
      <c r="F52" s="187"/>
    </row>
    <row r="53" spans="1:8" x14ac:dyDescent="0.25">
      <c r="A53" s="152"/>
      <c r="B53" s="369"/>
      <c r="C53" s="369"/>
      <c r="D53" s="369"/>
      <c r="E53" s="369"/>
      <c r="F53" s="187"/>
    </row>
    <row r="54" spans="1:8" ht="15" customHeight="1" x14ac:dyDescent="0.25">
      <c r="A54" s="152"/>
      <c r="B54" s="369"/>
      <c r="C54" s="369"/>
      <c r="D54" s="369"/>
      <c r="E54" s="369"/>
      <c r="F54" s="187"/>
    </row>
    <row r="55" spans="1:8" x14ac:dyDescent="0.25">
      <c r="A55" s="152"/>
      <c r="B55" s="369"/>
      <c r="C55" s="369"/>
      <c r="D55" s="369"/>
      <c r="E55" s="369"/>
      <c r="F55" s="187"/>
    </row>
    <row r="56" spans="1:8" x14ac:dyDescent="0.25">
      <c r="A56" s="152"/>
      <c r="B56" s="369"/>
      <c r="C56" s="369"/>
      <c r="D56" s="369"/>
      <c r="E56" s="369"/>
      <c r="F56" s="187"/>
    </row>
    <row r="57" spans="1:8" x14ac:dyDescent="0.25">
      <c r="A57" s="152"/>
      <c r="B57" s="369"/>
      <c r="C57" s="369"/>
      <c r="D57" s="369"/>
      <c r="E57" s="369"/>
      <c r="F57" s="187"/>
      <c r="G57" s="53"/>
      <c r="H57" s="47"/>
    </row>
    <row r="58" spans="1:8" x14ac:dyDescent="0.25">
      <c r="A58" s="152"/>
      <c r="B58" s="185"/>
      <c r="C58" s="185"/>
      <c r="D58" s="185"/>
      <c r="E58" s="185"/>
      <c r="F58" s="187"/>
      <c r="G58" s="53"/>
      <c r="H58" s="47"/>
    </row>
    <row r="59" spans="1:8" x14ac:dyDescent="0.25">
      <c r="A59" s="152"/>
      <c r="B59" s="19"/>
      <c r="C59" s="19"/>
      <c r="D59" s="19"/>
      <c r="E59" s="19"/>
      <c r="F59" s="187"/>
      <c r="G59" s="53"/>
      <c r="H59" s="47"/>
    </row>
    <row r="60" spans="1:8" x14ac:dyDescent="0.25">
      <c r="B60" s="19"/>
      <c r="C60" s="19"/>
      <c r="D60" s="19"/>
      <c r="E60" s="19"/>
      <c r="F60" s="187"/>
      <c r="G60" s="53"/>
      <c r="H60" s="47"/>
    </row>
    <row r="61" spans="1:8" x14ac:dyDescent="0.25">
      <c r="B61" s="19"/>
      <c r="C61" s="19"/>
      <c r="D61" s="19"/>
      <c r="E61" s="19"/>
      <c r="F61" s="187"/>
      <c r="G61" s="53"/>
      <c r="H61" s="47"/>
    </row>
    <row r="62" spans="1:8" x14ac:dyDescent="0.25">
      <c r="B62" s="19"/>
      <c r="C62" s="19"/>
      <c r="D62" s="19"/>
      <c r="E62" s="19"/>
      <c r="F62" s="187"/>
      <c r="G62" s="53"/>
      <c r="H62" s="47"/>
    </row>
    <row r="63" spans="1:8" x14ac:dyDescent="0.25">
      <c r="B63" s="19"/>
      <c r="C63" s="19"/>
      <c r="D63" s="19"/>
      <c r="E63" s="19"/>
      <c r="F63" s="187"/>
      <c r="G63" s="53"/>
      <c r="H63" s="47"/>
    </row>
    <row r="64" spans="1:8" x14ac:dyDescent="0.25">
      <c r="B64" s="19"/>
      <c r="C64" s="19"/>
      <c r="D64" s="19"/>
      <c r="E64" s="19"/>
      <c r="F64" s="187"/>
      <c r="G64" s="53"/>
      <c r="H64" s="47"/>
    </row>
    <row r="65" spans="1:8" x14ac:dyDescent="0.25">
      <c r="B65" s="19"/>
      <c r="C65" s="19"/>
      <c r="D65" s="19"/>
      <c r="E65" s="19"/>
      <c r="F65" s="187"/>
      <c r="G65" s="53"/>
      <c r="H65" s="47"/>
    </row>
    <row r="66" spans="1:8" x14ac:dyDescent="0.25">
      <c r="B66" s="19"/>
      <c r="C66" s="19"/>
      <c r="D66" s="19"/>
      <c r="E66" s="19"/>
      <c r="F66" s="187"/>
      <c r="G66" s="53"/>
      <c r="H66" s="47"/>
    </row>
    <row r="67" spans="1:8" x14ac:dyDescent="0.25">
      <c r="B67" s="19"/>
      <c r="C67" s="19"/>
      <c r="D67" s="19"/>
      <c r="E67" s="19"/>
      <c r="F67" s="187"/>
      <c r="G67" s="53"/>
      <c r="H67" s="47"/>
    </row>
    <row r="68" spans="1:8" x14ac:dyDescent="0.25">
      <c r="B68" s="19"/>
      <c r="C68" s="19"/>
      <c r="D68" s="19"/>
      <c r="E68" s="19"/>
      <c r="F68" s="187"/>
      <c r="G68" s="53"/>
      <c r="H68" s="47"/>
    </row>
    <row r="69" spans="1:8" x14ac:dyDescent="0.25">
      <c r="B69" s="19"/>
      <c r="C69" s="19"/>
      <c r="D69" s="19"/>
      <c r="E69" s="19"/>
      <c r="F69" s="187"/>
      <c r="G69" s="53"/>
      <c r="H69" s="47"/>
    </row>
    <row r="70" spans="1:8" ht="15" customHeight="1" x14ac:dyDescent="0.25">
      <c r="F70" s="187"/>
      <c r="G70" s="21"/>
      <c r="H70" s="47"/>
    </row>
    <row r="71" spans="1:8" ht="15" customHeight="1" x14ac:dyDescent="0.25">
      <c r="A71" s="152"/>
      <c r="B71" s="21"/>
      <c r="C71" s="21"/>
      <c r="D71" s="21"/>
      <c r="E71" s="21"/>
      <c r="F71" s="187"/>
      <c r="G71" s="187"/>
      <c r="H71" s="21"/>
    </row>
    <row r="72" spans="1:8" ht="15" customHeight="1" x14ac:dyDescent="0.25">
      <c r="B72" s="21"/>
      <c r="C72" s="21"/>
      <c r="D72" s="21"/>
      <c r="E72" s="21"/>
      <c r="F72" s="187"/>
      <c r="G72" s="187"/>
    </row>
    <row r="73" spans="1:8" ht="15" customHeight="1" x14ac:dyDescent="0.25">
      <c r="B73" s="21"/>
      <c r="C73" s="21"/>
      <c r="D73" s="21"/>
      <c r="E73" s="21"/>
      <c r="F73" s="187"/>
      <c r="G73" s="187"/>
    </row>
    <row r="74" spans="1:8" x14ac:dyDescent="0.25">
      <c r="A74" s="152"/>
      <c r="B74" s="21"/>
      <c r="C74" s="21"/>
      <c r="D74" s="21"/>
      <c r="E74" s="21"/>
      <c r="F74" s="187"/>
    </row>
    <row r="75" spans="1:8" x14ac:dyDescent="0.25">
      <c r="A75" s="152"/>
      <c r="B75" s="214"/>
      <c r="C75" s="214"/>
      <c r="D75" s="214"/>
      <c r="E75" s="214"/>
      <c r="F75" s="14"/>
    </row>
    <row r="76" spans="1:8" x14ac:dyDescent="0.25">
      <c r="A76" s="152"/>
      <c r="B76" s="214"/>
      <c r="C76" s="214"/>
      <c r="D76" s="214"/>
      <c r="E76" s="214"/>
      <c r="F76" s="14"/>
    </row>
    <row r="77" spans="1:8" x14ac:dyDescent="0.25">
      <c r="F77" s="187"/>
    </row>
    <row r="78" spans="1:8" x14ac:dyDescent="0.25">
      <c r="F78" s="187"/>
    </row>
    <row r="79" spans="1:8" x14ac:dyDescent="0.25">
      <c r="F79" s="187"/>
    </row>
  </sheetData>
  <mergeCells count="6">
    <mergeCell ref="B5:B6"/>
    <mergeCell ref="C5:C6"/>
    <mergeCell ref="D5:D6"/>
    <mergeCell ref="E5:E6"/>
    <mergeCell ref="B40:E46"/>
    <mergeCell ref="B48:E57"/>
  </mergeCells>
  <phoneticPr fontId="31" type="noConversion"/>
  <hyperlinks>
    <hyperlink ref="I8" r:id="rId1" xr:uid="{193B89D8-ECF4-4B6A-AAE0-F8B8B781B28E}"/>
    <hyperlink ref="I9" r:id="rId2" xr:uid="{77AD1211-8254-4883-A173-A6310D29ACE3}"/>
    <hyperlink ref="I11" r:id="rId3" xr:uid="{21F787D5-D6BB-4EBB-8A3F-DC0E3A5C406B}"/>
    <hyperlink ref="I10" r:id="rId4" xr:uid="{89129E05-E83A-4DFA-8F54-E86CBE82E213}"/>
  </hyperlinks>
  <pageMargins left="0.25" right="0.25" top="0.75" bottom="0.75" header="0.3" footer="0.3"/>
  <pageSetup paperSize="119" scale="55" orientation="landscape"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293CA-2F1F-4969-9FE2-7F2CF1BD0A22}">
  <sheetPr>
    <tabColor rgb="FF00B050"/>
    <pageSetUpPr fitToPage="1"/>
  </sheetPr>
  <dimension ref="A1:AE69"/>
  <sheetViews>
    <sheetView view="pageBreakPreview" zoomScale="85" zoomScaleNormal="85" zoomScaleSheetLayoutView="85" workbookViewId="0">
      <selection activeCell="J18" sqref="J18"/>
    </sheetView>
  </sheetViews>
  <sheetFormatPr defaultRowHeight="15" x14ac:dyDescent="0.25"/>
  <cols>
    <col min="1" max="1" width="9.140625" style="211"/>
    <col min="2" max="3" width="15.7109375" style="211" customWidth="1"/>
    <col min="4" max="5" width="18.5703125" style="211" customWidth="1"/>
    <col min="6" max="9" width="15.7109375" style="211" customWidth="1"/>
    <col min="10" max="10" width="15.7109375" style="336" customWidth="1"/>
    <col min="11" max="15" width="15.7109375" style="211" customWidth="1"/>
    <col min="16" max="16" width="17.7109375" style="211" customWidth="1"/>
    <col min="17" max="17" width="15.7109375" style="211" customWidth="1"/>
    <col min="18" max="22" width="15.42578125" style="211" customWidth="1"/>
    <col min="23" max="23" width="21.85546875" style="211" customWidth="1"/>
    <col min="24" max="24" width="15.7109375" style="211" customWidth="1"/>
    <col min="25" max="25" width="12.28515625" style="211" customWidth="1"/>
    <col min="26" max="26" width="19.140625" style="211" customWidth="1"/>
    <col min="27" max="27" width="13.85546875" style="211" customWidth="1"/>
    <col min="28" max="31" width="13.140625" style="211" customWidth="1"/>
    <col min="32" max="16384" width="9.140625" style="211"/>
  </cols>
  <sheetData>
    <row r="1" spans="2:31" ht="15.75" thickBot="1" x14ac:dyDescent="0.3">
      <c r="B1" s="151" t="s">
        <v>199</v>
      </c>
      <c r="C1" s="151"/>
      <c r="D1" s="151"/>
      <c r="E1" s="151"/>
    </row>
    <row r="2" spans="2:31" ht="15.75" thickBot="1" x14ac:dyDescent="0.3">
      <c r="C2" s="410" t="s">
        <v>200</v>
      </c>
      <c r="D2" s="411"/>
      <c r="E2" s="412"/>
      <c r="F2" s="424" t="s">
        <v>201</v>
      </c>
      <c r="G2" s="425"/>
      <c r="H2" s="425"/>
      <c r="I2" s="425"/>
      <c r="J2" s="425"/>
      <c r="K2" s="425"/>
      <c r="L2" s="425"/>
      <c r="M2" s="425"/>
      <c r="N2" s="425"/>
      <c r="O2" s="426" t="s">
        <v>202</v>
      </c>
      <c r="P2" s="427"/>
    </row>
    <row r="3" spans="2:31" ht="35.1" customHeight="1" x14ac:dyDescent="0.25">
      <c r="B3" s="413" t="s">
        <v>0</v>
      </c>
      <c r="C3" s="372" t="s">
        <v>203</v>
      </c>
      <c r="D3" s="376" t="s">
        <v>204</v>
      </c>
      <c r="E3" s="417" t="s">
        <v>205</v>
      </c>
      <c r="F3" s="372" t="s">
        <v>206</v>
      </c>
      <c r="G3" s="376" t="s">
        <v>207</v>
      </c>
      <c r="H3" s="374" t="s">
        <v>208</v>
      </c>
      <c r="I3" s="370" t="s">
        <v>209</v>
      </c>
      <c r="J3" s="374" t="s">
        <v>210</v>
      </c>
      <c r="K3" s="374" t="s">
        <v>328</v>
      </c>
      <c r="L3" s="370" t="s">
        <v>211</v>
      </c>
      <c r="M3" s="372" t="s">
        <v>212</v>
      </c>
      <c r="N3" s="422" t="s">
        <v>1</v>
      </c>
      <c r="O3" s="428" t="s">
        <v>213</v>
      </c>
      <c r="P3" s="430" t="s">
        <v>214</v>
      </c>
      <c r="R3" s="229"/>
    </row>
    <row r="4" spans="2:31" ht="35.1" customHeight="1" thickBot="1" x14ac:dyDescent="0.3">
      <c r="B4" s="414"/>
      <c r="C4" s="415"/>
      <c r="D4" s="416"/>
      <c r="E4" s="418"/>
      <c r="F4" s="415"/>
      <c r="G4" s="416"/>
      <c r="H4" s="421"/>
      <c r="I4" s="420"/>
      <c r="J4" s="421"/>
      <c r="K4" s="421"/>
      <c r="L4" s="420"/>
      <c r="M4" s="415"/>
      <c r="N4" s="423"/>
      <c r="O4" s="429"/>
      <c r="P4" s="431"/>
    </row>
    <row r="5" spans="2:31" ht="17.25" x14ac:dyDescent="0.25">
      <c r="B5" s="1">
        <f>'D_EV Charging Costs'!I10</f>
        <v>2023</v>
      </c>
      <c r="C5" s="230">
        <f t="shared" ref="C5:C24" si="0">($F5*$V$7/(1*10^6))</f>
        <v>95.335261190821456</v>
      </c>
      <c r="D5" s="231">
        <f t="shared" ref="D5:D24" si="1">C5*_xlfn.XLOOKUP($B5,$R$13:$R$48,$V$13:$V$48)</f>
        <v>5148.1041043043588</v>
      </c>
      <c r="E5" s="232">
        <f>D5*(1+0.03)^-($B5-'Global Assumptions'!$C$6)</f>
        <v>4574.0238179960224</v>
      </c>
      <c r="F5" s="233">
        <f>'D_EV Charging Station_Benefits'!$H$10*'D_EV Charging Station_Benefits'!$H$11</f>
        <v>76962</v>
      </c>
      <c r="G5" s="234">
        <f t="shared" ref="G5:G24" si="2">$F5*(S$7/(10^6))</f>
        <v>0.16158051118249303</v>
      </c>
      <c r="H5" s="235">
        <f t="shared" ref="H5:H24" si="3">$F5*(T$7/(10^6))</f>
        <v>3.6832496042994456E-4</v>
      </c>
      <c r="I5" s="236">
        <f t="shared" ref="I5:I24" si="4">$F5*(U$7/(10^6))</f>
        <v>2.5016719035383453E-3</v>
      </c>
      <c r="J5" s="238">
        <f>G5*_xlfn.XLOOKUP($B5,$R$13:$R$48,$S$13:$S$48)</f>
        <v>2649.9203833928859</v>
      </c>
      <c r="K5" s="238">
        <f>H5*_xlfn.XLOOKUP($B5,$R$13:$R$48,$T$13:$T$48)</f>
        <v>15.837973298487617</v>
      </c>
      <c r="L5" s="232">
        <f t="shared" ref="L5:L24" si="5">H5*_xlfn.XLOOKUP($B5,$R$13:$R$48,$U$13:$U$48)</f>
        <v>283.24189457062738</v>
      </c>
      <c r="M5" s="239">
        <f t="shared" ref="M5:M24" si="6">SUM(J5:L5)</f>
        <v>2949.0002512620008</v>
      </c>
      <c r="N5" s="240">
        <f>M5*(1+0.07)^-(B5-'Global Assumptions'!$C$6)</f>
        <v>2249.7781720147291</v>
      </c>
      <c r="O5" s="241">
        <f t="shared" ref="O5:P24" si="7">M5+D5</f>
        <v>8097.10435556636</v>
      </c>
      <c r="P5" s="242">
        <f t="shared" si="7"/>
        <v>6823.801990010752</v>
      </c>
      <c r="R5" s="243" t="s">
        <v>215</v>
      </c>
      <c r="S5" s="243"/>
      <c r="T5" s="243"/>
      <c r="U5" s="243"/>
      <c r="V5" s="243"/>
      <c r="Y5" s="151" t="s">
        <v>216</v>
      </c>
    </row>
    <row r="6" spans="2:31" x14ac:dyDescent="0.25">
      <c r="B6" s="2">
        <f>B5+1</f>
        <v>2024</v>
      </c>
      <c r="C6" s="244">
        <f t="shared" si="0"/>
        <v>95.335261190821456</v>
      </c>
      <c r="D6" s="241">
        <f t="shared" si="1"/>
        <v>5243.43936549518</v>
      </c>
      <c r="E6" s="242">
        <f>D6*(1+0.03)^-($B6-'Global Assumptions'!$C$6)</f>
        <v>4523.0368570618703</v>
      </c>
      <c r="F6" s="245">
        <f>'D_EV Charging Station_Benefits'!$H$10*'D_EV Charging Station_Benefits'!$H$11</f>
        <v>76962</v>
      </c>
      <c r="G6" s="246">
        <f t="shared" si="2"/>
        <v>0.16158051118249303</v>
      </c>
      <c r="H6" s="247">
        <f t="shared" si="3"/>
        <v>3.6832496042994456E-4</v>
      </c>
      <c r="I6" s="248">
        <f t="shared" si="4"/>
        <v>2.5016719035383453E-3</v>
      </c>
      <c r="J6" s="249">
        <f t="shared" ref="J6:J24" si="8">G6*_xlfn.XLOOKUP($B6,$R$13:$R$48,$S$13:$S$48)</f>
        <v>2682.2364856293843</v>
      </c>
      <c r="K6" s="249">
        <f t="shared" ref="K6:K24" si="9">H6*_xlfn.XLOOKUP($B6,$R$13:$R$48,$T$13:$T$48)</f>
        <v>16.169465762874566</v>
      </c>
      <c r="L6" s="250">
        <f t="shared" si="5"/>
        <v>288.28794652851764</v>
      </c>
      <c r="M6" s="251">
        <f t="shared" si="6"/>
        <v>2986.6938979207766</v>
      </c>
      <c r="N6" s="252">
        <f>M6*(1+0.07)^-(B6-'Global Assumptions'!$C$6)</f>
        <v>2129.4714715657201</v>
      </c>
      <c r="O6" s="253">
        <f t="shared" si="7"/>
        <v>8230.1332634159571</v>
      </c>
      <c r="P6" s="250">
        <f t="shared" si="7"/>
        <v>6652.5083286275903</v>
      </c>
      <c r="R6" s="254" t="s">
        <v>217</v>
      </c>
      <c r="S6" s="228" t="s">
        <v>218</v>
      </c>
      <c r="T6" s="228" t="s">
        <v>219</v>
      </c>
      <c r="U6" s="228" t="s">
        <v>220</v>
      </c>
      <c r="V6" s="228" t="s">
        <v>221</v>
      </c>
      <c r="Y6" s="160" t="s">
        <v>222</v>
      </c>
      <c r="Z6" s="160" t="s">
        <v>223</v>
      </c>
      <c r="AA6" s="160" t="s">
        <v>224</v>
      </c>
      <c r="AB6" s="94" t="s">
        <v>218</v>
      </c>
      <c r="AC6" s="94" t="s">
        <v>219</v>
      </c>
      <c r="AD6" s="94" t="s">
        <v>220</v>
      </c>
      <c r="AE6" s="94" t="s">
        <v>221</v>
      </c>
    </row>
    <row r="7" spans="2:31" x14ac:dyDescent="0.25">
      <c r="B7" s="2">
        <f t="shared" ref="B7:B24" si="10">B6+1</f>
        <v>2025</v>
      </c>
      <c r="C7" s="244">
        <f t="shared" si="0"/>
        <v>95.335261190821456</v>
      </c>
      <c r="D7" s="241">
        <f t="shared" si="1"/>
        <v>5338.7746266860013</v>
      </c>
      <c r="E7" s="242">
        <f>D7*(1+0.03)^-($B7-'Global Assumptions'!$C$6)</f>
        <v>4471.1396998316804</v>
      </c>
      <c r="F7" s="245">
        <f>'D_EV Charging Station_Benefits'!$H$10*'D_EV Charging Station_Benefits'!$H$11</f>
        <v>76962</v>
      </c>
      <c r="G7" s="246">
        <f t="shared" si="2"/>
        <v>0.16158051118249303</v>
      </c>
      <c r="H7" s="247">
        <f t="shared" si="3"/>
        <v>3.6832496042994456E-4</v>
      </c>
      <c r="I7" s="248">
        <f t="shared" si="4"/>
        <v>2.5016719035383453E-3</v>
      </c>
      <c r="J7" s="249">
        <f t="shared" si="8"/>
        <v>2714.5525878658827</v>
      </c>
      <c r="K7" s="249">
        <f t="shared" si="9"/>
        <v>16.537790723304511</v>
      </c>
      <c r="L7" s="250">
        <f t="shared" si="5"/>
        <v>293.40766347849382</v>
      </c>
      <c r="M7" s="251">
        <f t="shared" si="6"/>
        <v>3024.4980420676811</v>
      </c>
      <c r="N7" s="252">
        <f>M7*(1+0.07)^-(B7-'Global Assumptions'!$C$6)</f>
        <v>2015.3507512800668</v>
      </c>
      <c r="O7" s="253">
        <f t="shared" si="7"/>
        <v>8363.2726687536815</v>
      </c>
      <c r="P7" s="250">
        <f t="shared" si="7"/>
        <v>6486.4904511117475</v>
      </c>
      <c r="R7" s="254" t="s">
        <v>228</v>
      </c>
      <c r="S7" s="255">
        <f>AB26</f>
        <v>2.099484306313415</v>
      </c>
      <c r="T7" s="255">
        <f>AC26</f>
        <v>4.7858028693373951E-3</v>
      </c>
      <c r="U7" s="255">
        <f>AD26</f>
        <v>3.2505287070740692E-2</v>
      </c>
      <c r="V7" s="255">
        <f>AE26</f>
        <v>1238.7315972924489</v>
      </c>
      <c r="Y7" s="94">
        <v>11</v>
      </c>
      <c r="Z7" s="160" t="s">
        <v>226</v>
      </c>
      <c r="AA7" s="160" t="s">
        <v>227</v>
      </c>
      <c r="AB7" s="256">
        <v>0.73690802096518104</v>
      </c>
      <c r="AC7" s="256">
        <v>2.4081927794970298E-3</v>
      </c>
      <c r="AD7" s="256">
        <v>1.78605259703664E-2</v>
      </c>
      <c r="AE7" s="256">
        <v>362.51238716242</v>
      </c>
    </row>
    <row r="8" spans="2:31" x14ac:dyDescent="0.25">
      <c r="B8" s="2">
        <f t="shared" si="10"/>
        <v>2026</v>
      </c>
      <c r="C8" s="244">
        <f t="shared" si="0"/>
        <v>95.335261190821456</v>
      </c>
      <c r="D8" s="241">
        <f t="shared" si="1"/>
        <v>5434.1098878768225</v>
      </c>
      <c r="E8" s="242">
        <f>D8*(1+0.03)^-($B8-'Global Assumptions'!$C$6)</f>
        <v>4418.4286215396287</v>
      </c>
      <c r="F8" s="245">
        <f>'D_EV Charging Station_Benefits'!$H$10*'D_EV Charging Station_Benefits'!$H$11</f>
        <v>76962</v>
      </c>
      <c r="G8" s="246">
        <f t="shared" si="2"/>
        <v>0.16158051118249303</v>
      </c>
      <c r="H8" s="247">
        <f t="shared" si="3"/>
        <v>3.6832496042994456E-4</v>
      </c>
      <c r="I8" s="248">
        <f t="shared" si="4"/>
        <v>2.5016719035383453E-3</v>
      </c>
      <c r="J8" s="249">
        <f t="shared" si="8"/>
        <v>2746.8686901023816</v>
      </c>
      <c r="K8" s="249">
        <f t="shared" si="9"/>
        <v>16.758785699562477</v>
      </c>
      <c r="L8" s="250">
        <f t="shared" si="5"/>
        <v>297.42240554718023</v>
      </c>
      <c r="M8" s="251">
        <f t="shared" si="6"/>
        <v>3061.049881349124</v>
      </c>
      <c r="N8" s="252">
        <f>M8*(1+0.07)^-(B8-'Global Assumptions'!$C$6)</f>
        <v>1906.2680235060252</v>
      </c>
      <c r="O8" s="253">
        <f t="shared" si="7"/>
        <v>8495.1597692259456</v>
      </c>
      <c r="P8" s="250">
        <f t="shared" si="7"/>
        <v>6324.6966450456539</v>
      </c>
      <c r="Y8" s="94">
        <v>21</v>
      </c>
      <c r="Z8" s="160" t="s">
        <v>229</v>
      </c>
      <c r="AA8" s="160" t="s">
        <v>227</v>
      </c>
      <c r="AB8" s="256">
        <v>3.7528759722247264E-2</v>
      </c>
      <c r="AC8" s="256">
        <v>1.6122938930079201E-3</v>
      </c>
      <c r="AD8" s="256">
        <v>1.1798384221972261E-3</v>
      </c>
      <c r="AE8" s="256">
        <v>243.79125643460799</v>
      </c>
    </row>
    <row r="9" spans="2:31" ht="15" customHeight="1" x14ac:dyDescent="0.25">
      <c r="B9" s="2">
        <f t="shared" si="10"/>
        <v>2027</v>
      </c>
      <c r="C9" s="244">
        <f t="shared" si="0"/>
        <v>95.335261190821456</v>
      </c>
      <c r="D9" s="241">
        <f t="shared" si="1"/>
        <v>5529.4451490676447</v>
      </c>
      <c r="E9" s="242">
        <f>D9*(1+0.03)^-($B9-'Global Assumptions'!$C$6)</f>
        <v>4364.9950613063957</v>
      </c>
      <c r="F9" s="245">
        <f>'D_EV Charging Station_Benefits'!$H$10*'D_EV Charging Station_Benefits'!$H$11</f>
        <v>76962</v>
      </c>
      <c r="G9" s="246">
        <f t="shared" si="2"/>
        <v>0.16158051118249303</v>
      </c>
      <c r="H9" s="247">
        <f t="shared" si="3"/>
        <v>3.6832496042994456E-4</v>
      </c>
      <c r="I9" s="248">
        <f t="shared" si="4"/>
        <v>2.5016719035383453E-3</v>
      </c>
      <c r="J9" s="249">
        <f t="shared" si="8"/>
        <v>2795.3428434571292</v>
      </c>
      <c r="K9" s="249">
        <f t="shared" si="9"/>
        <v>17.01661317186344</v>
      </c>
      <c r="L9" s="250">
        <f t="shared" si="5"/>
        <v>301.51081260795263</v>
      </c>
      <c r="M9" s="251">
        <f t="shared" si="6"/>
        <v>3113.8702692369452</v>
      </c>
      <c r="N9" s="252">
        <f>M9*(1+0.07)^-(B9-'Global Assumptions'!$C$6)</f>
        <v>1812.3008471302896</v>
      </c>
      <c r="O9" s="253">
        <f t="shared" si="7"/>
        <v>8643.3154183045899</v>
      </c>
      <c r="P9" s="250">
        <f t="shared" si="7"/>
        <v>6177.2959084366848</v>
      </c>
      <c r="R9" s="151"/>
      <c r="S9" s="257"/>
      <c r="T9" s="258"/>
      <c r="U9" s="257"/>
      <c r="V9" s="259"/>
      <c r="Y9" s="94">
        <v>31</v>
      </c>
      <c r="Z9" s="160" t="s">
        <v>229</v>
      </c>
      <c r="AA9" s="160" t="s">
        <v>227</v>
      </c>
      <c r="AB9" s="256">
        <v>5.602001301010253E-2</v>
      </c>
      <c r="AC9" s="256">
        <v>2.0534055761767299E-3</v>
      </c>
      <c r="AD9" s="256">
        <v>1.6834690354423085E-3</v>
      </c>
      <c r="AE9" s="256">
        <v>318.590574637288</v>
      </c>
    </row>
    <row r="10" spans="2:31" x14ac:dyDescent="0.25">
      <c r="B10" s="2">
        <f t="shared" si="10"/>
        <v>2028</v>
      </c>
      <c r="C10" s="244">
        <f t="shared" si="0"/>
        <v>95.335261190821456</v>
      </c>
      <c r="D10" s="241">
        <f t="shared" si="1"/>
        <v>5624.780410258466</v>
      </c>
      <c r="E10" s="242">
        <f>D10*(1+0.03)^-($B10-'Global Assumptions'!$C$6)</f>
        <v>4310.9258221807386</v>
      </c>
      <c r="F10" s="245">
        <f>'D_EV Charging Station_Benefits'!$H$10*'D_EV Charging Station_Benefits'!$H$11</f>
        <v>76962</v>
      </c>
      <c r="G10" s="246">
        <f t="shared" si="2"/>
        <v>0.16158051118249303</v>
      </c>
      <c r="H10" s="247">
        <f t="shared" si="3"/>
        <v>3.6832496042994456E-4</v>
      </c>
      <c r="I10" s="248">
        <f t="shared" si="4"/>
        <v>2.5016719035383453E-3</v>
      </c>
      <c r="J10" s="249">
        <f t="shared" si="8"/>
        <v>2827.6589456936281</v>
      </c>
      <c r="K10" s="249">
        <f t="shared" si="9"/>
        <v>17.2744406441644</v>
      </c>
      <c r="L10" s="250">
        <f t="shared" si="5"/>
        <v>305.63605216476799</v>
      </c>
      <c r="M10" s="251">
        <f t="shared" si="6"/>
        <v>3150.5694385025604</v>
      </c>
      <c r="N10" s="252">
        <f>M10*(1+0.07)^-(B10-'Global Assumptions'!$C$6)</f>
        <v>1713.7010259559356</v>
      </c>
      <c r="O10" s="253">
        <f t="shared" si="7"/>
        <v>8775.3498487610268</v>
      </c>
      <c r="P10" s="250">
        <f t="shared" si="7"/>
        <v>6024.6268481366742</v>
      </c>
      <c r="S10" s="158"/>
      <c r="T10" s="158"/>
      <c r="U10" s="158"/>
      <c r="V10" s="158"/>
      <c r="Y10" s="94">
        <v>32</v>
      </c>
      <c r="Z10" s="160" t="s">
        <v>229</v>
      </c>
      <c r="AA10" s="160" t="s">
        <v>227</v>
      </c>
      <c r="AB10" s="256">
        <v>8.1182565604368817E-2</v>
      </c>
      <c r="AC10" s="256">
        <v>2.2057095109159902E-3</v>
      </c>
      <c r="AD10" s="256">
        <v>2.5484529232710825E-3</v>
      </c>
      <c r="AE10" s="256">
        <v>344.00451224712401</v>
      </c>
    </row>
    <row r="11" spans="2:31" ht="17.25" x14ac:dyDescent="0.25">
      <c r="B11" s="2">
        <f t="shared" si="10"/>
        <v>2029</v>
      </c>
      <c r="C11" s="244">
        <f t="shared" si="0"/>
        <v>95.335261190821456</v>
      </c>
      <c r="D11" s="241">
        <f t="shared" si="1"/>
        <v>5720.1156714492872</v>
      </c>
      <c r="E11" s="242">
        <f>D11*(1+0.03)^-($B11-'Global Assumptions'!$C$6)</f>
        <v>4256.3032636308099</v>
      </c>
      <c r="F11" s="245">
        <f>'D_EV Charging Station_Benefits'!$H$10*'D_EV Charging Station_Benefits'!$H$11</f>
        <v>76962</v>
      </c>
      <c r="G11" s="246">
        <f t="shared" si="2"/>
        <v>0.16158051118249303</v>
      </c>
      <c r="H11" s="247">
        <f t="shared" si="3"/>
        <v>3.6832496042994456E-4</v>
      </c>
      <c r="I11" s="248">
        <f t="shared" si="4"/>
        <v>2.5016719035383453E-3</v>
      </c>
      <c r="J11" s="249">
        <f t="shared" si="8"/>
        <v>2859.9750479301265</v>
      </c>
      <c r="K11" s="249">
        <f t="shared" si="9"/>
        <v>17.53226811646536</v>
      </c>
      <c r="L11" s="250">
        <f t="shared" si="5"/>
        <v>309.83495671366938</v>
      </c>
      <c r="M11" s="251">
        <f t="shared" si="6"/>
        <v>3187.342272760261</v>
      </c>
      <c r="N11" s="252">
        <f>M11*(1+0.07)^-(B11-'Global Assumptions'!$C$6)</f>
        <v>1620.2831881487414</v>
      </c>
      <c r="O11" s="253">
        <f t="shared" si="7"/>
        <v>8907.4579442095492</v>
      </c>
      <c r="P11" s="250">
        <f t="shared" si="7"/>
        <v>5876.5864517795508</v>
      </c>
      <c r="R11" s="151" t="s">
        <v>230</v>
      </c>
      <c r="Y11" s="94">
        <v>41</v>
      </c>
      <c r="Z11" s="160" t="s">
        <v>231</v>
      </c>
      <c r="AA11" s="160" t="s">
        <v>232</v>
      </c>
      <c r="AB11" s="256">
        <v>2.237602310868759</v>
      </c>
      <c r="AC11" s="256">
        <v>5.5717265564873301E-3</v>
      </c>
      <c r="AD11" s="256">
        <v>1.658066855283262E-2</v>
      </c>
      <c r="AE11" s="256">
        <v>1406.7823013201701</v>
      </c>
    </row>
    <row r="12" spans="2:31" x14ac:dyDescent="0.25">
      <c r="B12" s="2">
        <f t="shared" si="10"/>
        <v>2030</v>
      </c>
      <c r="C12" s="244">
        <f t="shared" si="0"/>
        <v>95.335261190821456</v>
      </c>
      <c r="D12" s="241">
        <f t="shared" si="1"/>
        <v>5815.4509326401085</v>
      </c>
      <c r="E12" s="242">
        <f>D12*(1+0.03)^-($B12-'Global Assumptions'!$C$6)</f>
        <v>4201.2054867553297</v>
      </c>
      <c r="F12" s="245">
        <f>'D_EV Charging Station_Benefits'!$H$10*'D_EV Charging Station_Benefits'!$H$11</f>
        <v>76962</v>
      </c>
      <c r="G12" s="246">
        <f t="shared" si="2"/>
        <v>0.16158051118249303</v>
      </c>
      <c r="H12" s="247">
        <f t="shared" si="3"/>
        <v>3.6832496042994456E-4</v>
      </c>
      <c r="I12" s="248">
        <f t="shared" si="4"/>
        <v>2.5016719035383453E-3</v>
      </c>
      <c r="J12" s="249">
        <f t="shared" si="8"/>
        <v>2908.4492012848746</v>
      </c>
      <c r="K12" s="249">
        <f t="shared" si="9"/>
        <v>17.753263092723326</v>
      </c>
      <c r="L12" s="250">
        <f t="shared" si="5"/>
        <v>314.07069375861374</v>
      </c>
      <c r="M12" s="251">
        <f t="shared" si="6"/>
        <v>3240.2731581362118</v>
      </c>
      <c r="N12" s="252">
        <f>M12*(1+0.07)^-(B12-'Global Assumptions'!$C$6)</f>
        <v>1539.4304357585697</v>
      </c>
      <c r="O12" s="253">
        <f t="shared" si="7"/>
        <v>9055.7240907763207</v>
      </c>
      <c r="P12" s="250">
        <f t="shared" si="7"/>
        <v>5740.6359225138995</v>
      </c>
      <c r="R12" s="260" t="s">
        <v>46</v>
      </c>
      <c r="S12" s="139" t="s">
        <v>218</v>
      </c>
      <c r="T12" s="139" t="s">
        <v>219</v>
      </c>
      <c r="U12" s="139" t="s">
        <v>220</v>
      </c>
      <c r="V12" s="139" t="s">
        <v>221</v>
      </c>
      <c r="Y12" s="94">
        <v>42</v>
      </c>
      <c r="Z12" s="160" t="s">
        <v>231</v>
      </c>
      <c r="AA12" s="160" t="s">
        <v>232</v>
      </c>
      <c r="AB12" s="256">
        <v>1.9658170115512426</v>
      </c>
      <c r="AC12" s="256">
        <v>5.4889920561794897E-3</v>
      </c>
      <c r="AD12" s="256">
        <v>1.2308421676718551E-2</v>
      </c>
      <c r="AE12" s="256">
        <v>1391.9649569298599</v>
      </c>
    </row>
    <row r="13" spans="2:31" ht="15" customHeight="1" x14ac:dyDescent="0.25">
      <c r="B13" s="2">
        <f t="shared" si="10"/>
        <v>2031</v>
      </c>
      <c r="C13" s="244">
        <f t="shared" si="0"/>
        <v>95.335261190821456</v>
      </c>
      <c r="D13" s="241">
        <f t="shared" si="1"/>
        <v>5910.7861938309306</v>
      </c>
      <c r="E13" s="242">
        <f>D13*(1+0.03)^-($B13-'Global Assumptions'!$C$6)</f>
        <v>4145.706512475419</v>
      </c>
      <c r="F13" s="245">
        <f>'D_EV Charging Station_Benefits'!$H$10*'D_EV Charging Station_Benefits'!$H$11</f>
        <v>76962</v>
      </c>
      <c r="G13" s="246">
        <f t="shared" si="2"/>
        <v>0.16158051118249303</v>
      </c>
      <c r="H13" s="247">
        <f t="shared" si="3"/>
        <v>3.6832496042994456E-4</v>
      </c>
      <c r="I13" s="248">
        <f t="shared" si="4"/>
        <v>2.5016719035383453E-3</v>
      </c>
      <c r="J13" s="249">
        <f t="shared" si="8"/>
        <v>2908.4492012848746</v>
      </c>
      <c r="K13" s="249">
        <f t="shared" si="9"/>
        <v>17.753263092723326</v>
      </c>
      <c r="L13" s="250">
        <f t="shared" si="5"/>
        <v>314.07069375861374</v>
      </c>
      <c r="M13" s="251">
        <f t="shared" si="6"/>
        <v>3240.2731581362118</v>
      </c>
      <c r="N13" s="252">
        <f>M13*(1+0.07)^-(B13-'Global Assumptions'!$C$6)</f>
        <v>1438.7200334192241</v>
      </c>
      <c r="O13" s="253">
        <f t="shared" si="7"/>
        <v>9151.059351967142</v>
      </c>
      <c r="P13" s="250">
        <f t="shared" si="7"/>
        <v>5584.4265458946429</v>
      </c>
      <c r="R13" s="261">
        <v>2020</v>
      </c>
      <c r="S13" s="262">
        <v>15700</v>
      </c>
      <c r="T13" s="262">
        <v>40400</v>
      </c>
      <c r="U13" s="262">
        <v>729300</v>
      </c>
      <c r="V13" s="262">
        <v>50</v>
      </c>
      <c r="Y13" s="94">
        <v>43</v>
      </c>
      <c r="Z13" s="160" t="s">
        <v>231</v>
      </c>
      <c r="AA13" s="160" t="s">
        <v>232</v>
      </c>
      <c r="AB13" s="256">
        <v>1.9469017025302577</v>
      </c>
      <c r="AC13" s="256">
        <v>3.66910948950592E-3</v>
      </c>
      <c r="AD13" s="256">
        <v>5.5096995199883071E-2</v>
      </c>
      <c r="AE13" s="256">
        <v>1071.1129065416801</v>
      </c>
    </row>
    <row r="14" spans="2:31" x14ac:dyDescent="0.25">
      <c r="B14" s="2">
        <f t="shared" si="10"/>
        <v>2032</v>
      </c>
      <c r="C14" s="244">
        <f t="shared" si="0"/>
        <v>95.335261190821456</v>
      </c>
      <c r="D14" s="241">
        <f t="shared" si="1"/>
        <v>6006.1214550217519</v>
      </c>
      <c r="E14" s="242">
        <f>D14*(1+0.03)^-($B14-'Global Assumptions'!$C$6)</f>
        <v>4089.8764529588375</v>
      </c>
      <c r="F14" s="245">
        <f>'D_EV Charging Station_Benefits'!$H$10*'D_EV Charging Station_Benefits'!$H$11</f>
        <v>76962</v>
      </c>
      <c r="G14" s="246">
        <f t="shared" si="2"/>
        <v>0.16158051118249303</v>
      </c>
      <c r="H14" s="247">
        <f t="shared" si="3"/>
        <v>3.6832496042994456E-4</v>
      </c>
      <c r="I14" s="248">
        <f t="shared" si="4"/>
        <v>2.5016719035383453E-3</v>
      </c>
      <c r="J14" s="249">
        <f t="shared" si="8"/>
        <v>2908.4492012848746</v>
      </c>
      <c r="K14" s="249">
        <f t="shared" si="9"/>
        <v>17.753263092723326</v>
      </c>
      <c r="L14" s="250">
        <f t="shared" si="5"/>
        <v>314.07069375861374</v>
      </c>
      <c r="M14" s="251">
        <f t="shared" si="6"/>
        <v>3240.2731581362118</v>
      </c>
      <c r="N14" s="252">
        <f>M14*(1+0.07)^-(B14-'Global Assumptions'!$C$6)</f>
        <v>1344.5981620740413</v>
      </c>
      <c r="O14" s="253">
        <f t="shared" si="7"/>
        <v>9246.3946131579632</v>
      </c>
      <c r="P14" s="250">
        <f t="shared" si="7"/>
        <v>5434.4746150328792</v>
      </c>
      <c r="R14" s="261">
        <v>2021</v>
      </c>
      <c r="S14" s="262">
        <v>15900</v>
      </c>
      <c r="T14" s="262">
        <v>41300</v>
      </c>
      <c r="U14" s="262">
        <v>742300</v>
      </c>
      <c r="V14" s="262">
        <v>52</v>
      </c>
      <c r="Y14" s="94">
        <v>51</v>
      </c>
      <c r="Z14" s="160" t="s">
        <v>233</v>
      </c>
      <c r="AA14" s="160" t="s">
        <v>232</v>
      </c>
      <c r="AB14" s="256">
        <v>2.48942987946789</v>
      </c>
      <c r="AC14" s="256">
        <v>5.2833773025508703E-3</v>
      </c>
      <c r="AD14" s="256">
        <v>3.4321389281753531E-2</v>
      </c>
      <c r="AE14" s="256">
        <v>1427.83446247497</v>
      </c>
    </row>
    <row r="15" spans="2:31" x14ac:dyDescent="0.25">
      <c r="B15" s="2">
        <f t="shared" si="10"/>
        <v>2033</v>
      </c>
      <c r="C15" s="244">
        <f t="shared" si="0"/>
        <v>0</v>
      </c>
      <c r="D15" s="241">
        <f t="shared" si="1"/>
        <v>0</v>
      </c>
      <c r="E15" s="242">
        <f>D15*(1+0.03)^-($B15-'Global Assumptions'!$C$6)</f>
        <v>0</v>
      </c>
      <c r="F15" s="245">
        <v>0</v>
      </c>
      <c r="G15" s="246">
        <f t="shared" si="2"/>
        <v>0</v>
      </c>
      <c r="H15" s="247">
        <f t="shared" si="3"/>
        <v>0</v>
      </c>
      <c r="I15" s="248">
        <f t="shared" si="4"/>
        <v>0</v>
      </c>
      <c r="J15" s="249">
        <f t="shared" si="8"/>
        <v>0</v>
      </c>
      <c r="K15" s="249">
        <f t="shared" si="9"/>
        <v>0</v>
      </c>
      <c r="L15" s="250">
        <f t="shared" si="5"/>
        <v>0</v>
      </c>
      <c r="M15" s="251">
        <f t="shared" si="6"/>
        <v>0</v>
      </c>
      <c r="N15" s="252">
        <f>M15*(1+0.07)^-(B15-'Global Assumptions'!$C$6)</f>
        <v>0</v>
      </c>
      <c r="O15" s="253">
        <f t="shared" si="7"/>
        <v>0</v>
      </c>
      <c r="P15" s="250">
        <f t="shared" si="7"/>
        <v>0</v>
      </c>
      <c r="R15" s="261">
        <v>2022</v>
      </c>
      <c r="S15" s="262">
        <v>16100</v>
      </c>
      <c r="T15" s="262">
        <v>42100</v>
      </c>
      <c r="U15" s="262">
        <v>755500</v>
      </c>
      <c r="V15" s="262">
        <v>53</v>
      </c>
      <c r="Y15" s="94">
        <v>52</v>
      </c>
      <c r="Z15" s="160" t="s">
        <v>233</v>
      </c>
      <c r="AA15" s="160" t="s">
        <v>232</v>
      </c>
      <c r="AB15" s="256">
        <v>0.95074648895471525</v>
      </c>
      <c r="AC15" s="256">
        <v>3.5321878667988801E-3</v>
      </c>
      <c r="AD15" s="256">
        <v>1.5158170819293781E-2</v>
      </c>
      <c r="AE15" s="256">
        <v>862.616489254057</v>
      </c>
    </row>
    <row r="16" spans="2:31" x14ac:dyDescent="0.25">
      <c r="B16" s="2">
        <f t="shared" si="10"/>
        <v>2034</v>
      </c>
      <c r="C16" s="244">
        <f t="shared" si="0"/>
        <v>0</v>
      </c>
      <c r="D16" s="241">
        <f t="shared" si="1"/>
        <v>0</v>
      </c>
      <c r="E16" s="242">
        <f>D16*(1+0.03)^-($B16-'Global Assumptions'!$C$6)</f>
        <v>0</v>
      </c>
      <c r="F16" s="245">
        <v>0</v>
      </c>
      <c r="G16" s="246">
        <f t="shared" si="2"/>
        <v>0</v>
      </c>
      <c r="H16" s="247">
        <f t="shared" si="3"/>
        <v>0</v>
      </c>
      <c r="I16" s="248">
        <f t="shared" si="4"/>
        <v>0</v>
      </c>
      <c r="J16" s="249">
        <f t="shared" si="8"/>
        <v>0</v>
      </c>
      <c r="K16" s="249">
        <f t="shared" si="9"/>
        <v>0</v>
      </c>
      <c r="L16" s="250">
        <f t="shared" si="5"/>
        <v>0</v>
      </c>
      <c r="M16" s="251">
        <f t="shared" si="6"/>
        <v>0</v>
      </c>
      <c r="N16" s="252">
        <f>M16*(1+0.07)^-(B16-'Global Assumptions'!$C$6)</f>
        <v>0</v>
      </c>
      <c r="O16" s="253">
        <f t="shared" si="7"/>
        <v>0</v>
      </c>
      <c r="P16" s="250">
        <f t="shared" si="7"/>
        <v>0</v>
      </c>
      <c r="R16" s="261">
        <v>2023</v>
      </c>
      <c r="S16" s="262">
        <v>16400</v>
      </c>
      <c r="T16" s="262">
        <v>43000</v>
      </c>
      <c r="U16" s="262">
        <v>769000</v>
      </c>
      <c r="V16" s="262">
        <v>54</v>
      </c>
      <c r="Y16" s="94">
        <v>53</v>
      </c>
      <c r="Z16" s="160" t="s">
        <v>233</v>
      </c>
      <c r="AA16" s="160" t="s">
        <v>232</v>
      </c>
      <c r="AB16" s="256">
        <v>0.89067775827536644</v>
      </c>
      <c r="AC16" s="256">
        <v>3.4020765235606102E-3</v>
      </c>
      <c r="AD16" s="256">
        <v>1.349939126139434E-2</v>
      </c>
      <c r="AE16" s="256">
        <v>829.46088804247995</v>
      </c>
    </row>
    <row r="17" spans="1:31" x14ac:dyDescent="0.25">
      <c r="B17" s="2">
        <f t="shared" si="10"/>
        <v>2035</v>
      </c>
      <c r="C17" s="244">
        <f t="shared" si="0"/>
        <v>0</v>
      </c>
      <c r="D17" s="241">
        <f t="shared" si="1"/>
        <v>0</v>
      </c>
      <c r="E17" s="242">
        <f>D17*(1+0.03)^-($B17-'Global Assumptions'!$C$6)</f>
        <v>0</v>
      </c>
      <c r="F17" s="245">
        <v>0</v>
      </c>
      <c r="G17" s="246">
        <f t="shared" si="2"/>
        <v>0</v>
      </c>
      <c r="H17" s="247">
        <f t="shared" si="3"/>
        <v>0</v>
      </c>
      <c r="I17" s="248">
        <f t="shared" si="4"/>
        <v>0</v>
      </c>
      <c r="J17" s="249">
        <f t="shared" si="8"/>
        <v>0</v>
      </c>
      <c r="K17" s="249">
        <f t="shared" si="9"/>
        <v>0</v>
      </c>
      <c r="L17" s="250">
        <f t="shared" si="5"/>
        <v>0</v>
      </c>
      <c r="M17" s="251">
        <f t="shared" si="6"/>
        <v>0</v>
      </c>
      <c r="N17" s="252">
        <f>M17*(1+0.07)^-(B17-'Global Assumptions'!$C$6)</f>
        <v>0</v>
      </c>
      <c r="O17" s="253">
        <f t="shared" si="7"/>
        <v>0</v>
      </c>
      <c r="P17" s="250">
        <f t="shared" si="7"/>
        <v>0</v>
      </c>
      <c r="R17" s="261">
        <v>2024</v>
      </c>
      <c r="S17" s="262">
        <v>16600</v>
      </c>
      <c r="T17" s="262">
        <v>43900</v>
      </c>
      <c r="U17" s="262">
        <v>782700</v>
      </c>
      <c r="V17" s="262">
        <v>55</v>
      </c>
      <c r="Y17" s="94">
        <v>54</v>
      </c>
      <c r="Z17" s="160" t="s">
        <v>233</v>
      </c>
      <c r="AA17" s="160" t="s">
        <v>232</v>
      </c>
      <c r="AB17" s="256">
        <v>1.6481032166429217</v>
      </c>
      <c r="AC17" s="256">
        <v>6.0326542026046303E-3</v>
      </c>
      <c r="AD17" s="256">
        <v>4.2864875162321965E-2</v>
      </c>
      <c r="AE17" s="256">
        <v>1166.1048437433201</v>
      </c>
    </row>
    <row r="18" spans="1:31" x14ac:dyDescent="0.25">
      <c r="B18" s="2">
        <f t="shared" si="10"/>
        <v>2036</v>
      </c>
      <c r="C18" s="244">
        <f t="shared" si="0"/>
        <v>0</v>
      </c>
      <c r="D18" s="241">
        <f t="shared" si="1"/>
        <v>0</v>
      </c>
      <c r="E18" s="242">
        <f>D18*(1+0.03)^-($B18-'Global Assumptions'!$C$6)</f>
        <v>0</v>
      </c>
      <c r="F18" s="245">
        <v>0</v>
      </c>
      <c r="G18" s="246">
        <f t="shared" si="2"/>
        <v>0</v>
      </c>
      <c r="H18" s="247">
        <f t="shared" si="3"/>
        <v>0</v>
      </c>
      <c r="I18" s="248">
        <f t="shared" si="4"/>
        <v>0</v>
      </c>
      <c r="J18" s="249">
        <f t="shared" si="8"/>
        <v>0</v>
      </c>
      <c r="K18" s="249">
        <f t="shared" si="9"/>
        <v>0</v>
      </c>
      <c r="L18" s="250">
        <f t="shared" si="5"/>
        <v>0</v>
      </c>
      <c r="M18" s="251">
        <f t="shared" si="6"/>
        <v>0</v>
      </c>
      <c r="N18" s="252">
        <f>M18*(1+0.07)^-(B18-'Global Assumptions'!$C$6)</f>
        <v>0</v>
      </c>
      <c r="O18" s="253">
        <f t="shared" si="7"/>
        <v>0</v>
      </c>
      <c r="P18" s="250">
        <f t="shared" si="7"/>
        <v>0</v>
      </c>
      <c r="R18" s="261">
        <v>2025</v>
      </c>
      <c r="S18" s="262">
        <v>16800</v>
      </c>
      <c r="T18" s="262">
        <v>44900</v>
      </c>
      <c r="U18" s="262">
        <v>796600</v>
      </c>
      <c r="V18" s="262">
        <v>56</v>
      </c>
      <c r="Y18" s="94">
        <v>61</v>
      </c>
      <c r="Z18" s="160" t="s">
        <v>234</v>
      </c>
      <c r="AA18" s="160" t="s">
        <v>232</v>
      </c>
      <c r="AB18" s="256">
        <v>3.0234078113615883</v>
      </c>
      <c r="AC18" s="256">
        <v>4.9760807160904204E-3</v>
      </c>
      <c r="AD18" s="256">
        <v>4.3407648080982714E-2</v>
      </c>
      <c r="AE18" s="256">
        <v>1463.90880302132</v>
      </c>
    </row>
    <row r="19" spans="1:31" x14ac:dyDescent="0.25">
      <c r="B19" s="2">
        <f t="shared" si="10"/>
        <v>2037</v>
      </c>
      <c r="C19" s="244">
        <f t="shared" si="0"/>
        <v>0</v>
      </c>
      <c r="D19" s="241">
        <f t="shared" si="1"/>
        <v>0</v>
      </c>
      <c r="E19" s="242">
        <f>D19*(1+0.03)^-($B19-'Global Assumptions'!$C$6)</f>
        <v>0</v>
      </c>
      <c r="F19" s="245">
        <v>0</v>
      </c>
      <c r="G19" s="246">
        <f t="shared" si="2"/>
        <v>0</v>
      </c>
      <c r="H19" s="247">
        <f t="shared" si="3"/>
        <v>0</v>
      </c>
      <c r="I19" s="248">
        <f t="shared" si="4"/>
        <v>0</v>
      </c>
      <c r="J19" s="249">
        <f t="shared" si="8"/>
        <v>0</v>
      </c>
      <c r="K19" s="249">
        <f t="shared" si="9"/>
        <v>0</v>
      </c>
      <c r="L19" s="250">
        <f t="shared" si="5"/>
        <v>0</v>
      </c>
      <c r="M19" s="251">
        <f t="shared" si="6"/>
        <v>0</v>
      </c>
      <c r="N19" s="252">
        <f>M19*(1+0.07)^-(B19-'Global Assumptions'!$C$6)</f>
        <v>0</v>
      </c>
      <c r="O19" s="253">
        <f t="shared" si="7"/>
        <v>0</v>
      </c>
      <c r="P19" s="250">
        <f t="shared" si="7"/>
        <v>0</v>
      </c>
      <c r="R19" s="261">
        <v>2026</v>
      </c>
      <c r="S19" s="262">
        <v>17000</v>
      </c>
      <c r="T19" s="262">
        <v>45500</v>
      </c>
      <c r="U19" s="262">
        <v>807500</v>
      </c>
      <c r="V19" s="262">
        <v>57</v>
      </c>
      <c r="Y19" s="94">
        <v>62</v>
      </c>
      <c r="Z19" s="160" t="s">
        <v>234</v>
      </c>
      <c r="AA19" s="160" t="s">
        <v>232</v>
      </c>
      <c r="AB19" s="256">
        <v>3.7426725771679936</v>
      </c>
      <c r="AC19" s="256">
        <v>5.1160211102583997E-3</v>
      </c>
      <c r="AD19" s="256">
        <v>5.9310023601485649E-2</v>
      </c>
      <c r="AE19" s="256">
        <v>1528.79872430418</v>
      </c>
    </row>
    <row r="20" spans="1:31" x14ac:dyDescent="0.25">
      <c r="B20" s="2">
        <f t="shared" si="10"/>
        <v>2038</v>
      </c>
      <c r="C20" s="244">
        <f t="shared" si="0"/>
        <v>0</v>
      </c>
      <c r="D20" s="241">
        <f t="shared" si="1"/>
        <v>0</v>
      </c>
      <c r="E20" s="242">
        <f>D20*(1+0.03)^-($B20-'Global Assumptions'!$C$6)</f>
        <v>0</v>
      </c>
      <c r="F20" s="245">
        <v>0</v>
      </c>
      <c r="G20" s="246">
        <f t="shared" si="2"/>
        <v>0</v>
      </c>
      <c r="H20" s="247">
        <f t="shared" si="3"/>
        <v>0</v>
      </c>
      <c r="I20" s="248">
        <f t="shared" si="4"/>
        <v>0</v>
      </c>
      <c r="J20" s="249">
        <f t="shared" si="8"/>
        <v>0</v>
      </c>
      <c r="K20" s="249">
        <f t="shared" si="9"/>
        <v>0</v>
      </c>
      <c r="L20" s="250">
        <f t="shared" si="5"/>
        <v>0</v>
      </c>
      <c r="M20" s="251">
        <f t="shared" si="6"/>
        <v>0</v>
      </c>
      <c r="N20" s="252">
        <f>M20*(1+0.07)^-(B20-'Global Assumptions'!$C$6)</f>
        <v>0</v>
      </c>
      <c r="O20" s="253">
        <f t="shared" si="7"/>
        <v>0</v>
      </c>
      <c r="P20" s="250">
        <f t="shared" si="7"/>
        <v>0</v>
      </c>
      <c r="R20" s="261">
        <v>2027</v>
      </c>
      <c r="S20" s="262">
        <v>17300</v>
      </c>
      <c r="T20" s="262">
        <v>46200</v>
      </c>
      <c r="U20" s="262">
        <v>818600</v>
      </c>
      <c r="V20" s="262">
        <v>58</v>
      </c>
    </row>
    <row r="21" spans="1:31" x14ac:dyDescent="0.25">
      <c r="B21" s="2">
        <f t="shared" si="10"/>
        <v>2039</v>
      </c>
      <c r="C21" s="244">
        <f t="shared" si="0"/>
        <v>0</v>
      </c>
      <c r="D21" s="241">
        <f t="shared" si="1"/>
        <v>0</v>
      </c>
      <c r="E21" s="242">
        <f>D21*(1+0.03)^-($B21-'Global Assumptions'!$C$6)</f>
        <v>0</v>
      </c>
      <c r="F21" s="245">
        <v>0</v>
      </c>
      <c r="G21" s="246">
        <f t="shared" si="2"/>
        <v>0</v>
      </c>
      <c r="H21" s="247">
        <f t="shared" si="3"/>
        <v>0</v>
      </c>
      <c r="I21" s="248">
        <f t="shared" si="4"/>
        <v>0</v>
      </c>
      <c r="J21" s="249">
        <f t="shared" si="8"/>
        <v>0</v>
      </c>
      <c r="K21" s="249">
        <f t="shared" si="9"/>
        <v>0</v>
      </c>
      <c r="L21" s="250">
        <f t="shared" si="5"/>
        <v>0</v>
      </c>
      <c r="M21" s="251">
        <f t="shared" si="6"/>
        <v>0</v>
      </c>
      <c r="N21" s="252">
        <f>M21*(1+0.07)^-(B21-'Global Assumptions'!$C$6)</f>
        <v>0</v>
      </c>
      <c r="O21" s="253">
        <f t="shared" si="7"/>
        <v>0</v>
      </c>
      <c r="P21" s="250">
        <f t="shared" si="7"/>
        <v>0</v>
      </c>
      <c r="R21" s="261">
        <v>2028</v>
      </c>
      <c r="S21" s="262">
        <v>17500</v>
      </c>
      <c r="T21" s="262">
        <v>46900</v>
      </c>
      <c r="U21" s="262">
        <v>829800</v>
      </c>
      <c r="V21" s="262">
        <v>59</v>
      </c>
    </row>
    <row r="22" spans="1:31" x14ac:dyDescent="0.25">
      <c r="B22" s="2">
        <f t="shared" si="10"/>
        <v>2040</v>
      </c>
      <c r="C22" s="244">
        <f t="shared" si="0"/>
        <v>0</v>
      </c>
      <c r="D22" s="241">
        <f t="shared" si="1"/>
        <v>0</v>
      </c>
      <c r="E22" s="242">
        <f>D22*(1+0.03)^-($B22-'Global Assumptions'!$C$6)</f>
        <v>0</v>
      </c>
      <c r="F22" s="245">
        <v>0</v>
      </c>
      <c r="G22" s="246">
        <f t="shared" si="2"/>
        <v>0</v>
      </c>
      <c r="H22" s="247">
        <f t="shared" si="3"/>
        <v>0</v>
      </c>
      <c r="I22" s="248">
        <f t="shared" si="4"/>
        <v>0</v>
      </c>
      <c r="J22" s="249">
        <f t="shared" si="8"/>
        <v>0</v>
      </c>
      <c r="K22" s="249">
        <f t="shared" si="9"/>
        <v>0</v>
      </c>
      <c r="L22" s="250">
        <f t="shared" si="5"/>
        <v>0</v>
      </c>
      <c r="M22" s="251">
        <f t="shared" si="6"/>
        <v>0</v>
      </c>
      <c r="N22" s="252">
        <f>M22*(1+0.07)^-(B22-'Global Assumptions'!$C$6)</f>
        <v>0</v>
      </c>
      <c r="O22" s="253">
        <f t="shared" si="7"/>
        <v>0</v>
      </c>
      <c r="P22" s="250">
        <f t="shared" si="7"/>
        <v>0</v>
      </c>
      <c r="R22" s="261">
        <v>2029</v>
      </c>
      <c r="S22" s="262">
        <v>17700</v>
      </c>
      <c r="T22" s="262">
        <v>47600</v>
      </c>
      <c r="U22" s="262">
        <v>841200</v>
      </c>
      <c r="V22" s="262">
        <v>60</v>
      </c>
    </row>
    <row r="23" spans="1:31" x14ac:dyDescent="0.25">
      <c r="B23" s="2">
        <f t="shared" si="10"/>
        <v>2041</v>
      </c>
      <c r="C23" s="244">
        <f t="shared" si="0"/>
        <v>0</v>
      </c>
      <c r="D23" s="241">
        <f t="shared" si="1"/>
        <v>0</v>
      </c>
      <c r="E23" s="242">
        <f>D23*(1+0.03)^-($B23-'Global Assumptions'!$C$6)</f>
        <v>0</v>
      </c>
      <c r="F23" s="245">
        <v>0</v>
      </c>
      <c r="G23" s="246">
        <f t="shared" si="2"/>
        <v>0</v>
      </c>
      <c r="H23" s="247">
        <f t="shared" si="3"/>
        <v>0</v>
      </c>
      <c r="I23" s="248">
        <f t="shared" si="4"/>
        <v>0</v>
      </c>
      <c r="J23" s="249">
        <f t="shared" si="8"/>
        <v>0</v>
      </c>
      <c r="K23" s="249">
        <f t="shared" si="9"/>
        <v>0</v>
      </c>
      <c r="L23" s="250">
        <f t="shared" si="5"/>
        <v>0</v>
      </c>
      <c r="M23" s="251">
        <f t="shared" si="6"/>
        <v>0</v>
      </c>
      <c r="N23" s="252">
        <f>M23*(1+0.07)^-(B23-'Global Assumptions'!$C$6)</f>
        <v>0</v>
      </c>
      <c r="O23" s="253">
        <f t="shared" si="7"/>
        <v>0</v>
      </c>
      <c r="P23" s="250">
        <f t="shared" si="7"/>
        <v>0</v>
      </c>
      <c r="R23" s="261">
        <v>2030</v>
      </c>
      <c r="S23" s="262">
        <v>18000</v>
      </c>
      <c r="T23" s="262">
        <v>48200</v>
      </c>
      <c r="U23" s="262">
        <v>852700</v>
      </c>
      <c r="V23" s="262">
        <v>61</v>
      </c>
    </row>
    <row r="24" spans="1:31" ht="15" customHeight="1" thickBot="1" x14ac:dyDescent="0.3">
      <c r="B24" s="3">
        <f t="shared" si="10"/>
        <v>2042</v>
      </c>
      <c r="C24" s="263">
        <f t="shared" si="0"/>
        <v>0</v>
      </c>
      <c r="D24" s="264">
        <f t="shared" si="1"/>
        <v>0</v>
      </c>
      <c r="E24" s="265">
        <f>D24*(1+0.03)^-($B24-'Global Assumptions'!$C$6)</f>
        <v>0</v>
      </c>
      <c r="F24" s="266">
        <v>0</v>
      </c>
      <c r="G24" s="267">
        <f t="shared" si="2"/>
        <v>0</v>
      </c>
      <c r="H24" s="268">
        <f t="shared" si="3"/>
        <v>0</v>
      </c>
      <c r="I24" s="269">
        <f t="shared" si="4"/>
        <v>0</v>
      </c>
      <c r="J24" s="271">
        <f t="shared" si="8"/>
        <v>0</v>
      </c>
      <c r="K24" s="271">
        <f t="shared" si="9"/>
        <v>0</v>
      </c>
      <c r="L24" s="265">
        <f t="shared" si="5"/>
        <v>0</v>
      </c>
      <c r="M24" s="272">
        <f t="shared" si="6"/>
        <v>0</v>
      </c>
      <c r="N24" s="273">
        <f>M24*(1+0.07)^-(B24-'Global Assumptions'!$C$6)</f>
        <v>0</v>
      </c>
      <c r="O24" s="264">
        <f t="shared" si="7"/>
        <v>0</v>
      </c>
      <c r="P24" s="265">
        <f t="shared" si="7"/>
        <v>0</v>
      </c>
      <c r="R24" s="261">
        <v>2031</v>
      </c>
      <c r="S24" s="262">
        <v>18000</v>
      </c>
      <c r="T24" s="262">
        <v>48200</v>
      </c>
      <c r="U24" s="262">
        <v>852700</v>
      </c>
      <c r="V24" s="262">
        <v>62</v>
      </c>
      <c r="AA24" s="254" t="s">
        <v>217</v>
      </c>
      <c r="AB24" s="228" t="s">
        <v>218</v>
      </c>
      <c r="AC24" s="228" t="s">
        <v>219</v>
      </c>
      <c r="AD24" s="228" t="s">
        <v>220</v>
      </c>
      <c r="AE24" s="228" t="s">
        <v>221</v>
      </c>
    </row>
    <row r="25" spans="1:31" x14ac:dyDescent="0.25">
      <c r="B25" s="4"/>
      <c r="C25" s="4"/>
      <c r="D25" s="274" t="s">
        <v>2</v>
      </c>
      <c r="E25" s="275">
        <f>SUM(E5:E24)</f>
        <v>43355.641595736728</v>
      </c>
      <c r="F25" s="276"/>
      <c r="G25" s="4"/>
      <c r="H25" s="4"/>
      <c r="I25" s="4"/>
      <c r="J25" s="4"/>
      <c r="K25" s="4"/>
      <c r="L25" s="4"/>
      <c r="M25" s="274" t="s">
        <v>2</v>
      </c>
      <c r="N25" s="275">
        <f>SUM(N5:N24)</f>
        <v>17769.902110853345</v>
      </c>
      <c r="O25" s="275">
        <f>SUM(O5:O24)</f>
        <v>86964.971324138533</v>
      </c>
      <c r="P25" s="275">
        <f>SUM(P5:P24)</f>
        <v>61125.54370659007</v>
      </c>
      <c r="R25" s="261">
        <v>2032</v>
      </c>
      <c r="S25" s="262">
        <v>18000</v>
      </c>
      <c r="T25" s="262">
        <v>48200</v>
      </c>
      <c r="U25" s="262">
        <v>852700</v>
      </c>
      <c r="V25" s="262">
        <v>63</v>
      </c>
      <c r="AA25" s="254" t="s">
        <v>225</v>
      </c>
      <c r="AB25" s="255">
        <f>AVERAGE(AB7:AB10)</f>
        <v>0.22790983982547491</v>
      </c>
      <c r="AC25" s="255">
        <f t="shared" ref="AC25:AE25" si="11">AVERAGE(AC7:AC10)</f>
        <v>2.0699004398994176E-3</v>
      </c>
      <c r="AD25" s="255">
        <f t="shared" si="11"/>
        <v>5.8180715878192544E-3</v>
      </c>
      <c r="AE25" s="255">
        <f t="shared" si="11"/>
        <v>317.22468262036</v>
      </c>
    </row>
    <row r="26" spans="1:31" x14ac:dyDescent="0.25">
      <c r="R26" s="261">
        <v>2033</v>
      </c>
      <c r="S26" s="262">
        <v>18000</v>
      </c>
      <c r="T26" s="262">
        <v>48200</v>
      </c>
      <c r="U26" s="262">
        <v>852700</v>
      </c>
      <c r="V26" s="262">
        <v>64</v>
      </c>
      <c r="AA26" s="254" t="s">
        <v>228</v>
      </c>
      <c r="AB26" s="255">
        <f>AVERAGE(AB11:AB19)</f>
        <v>2.099484306313415</v>
      </c>
      <c r="AC26" s="255">
        <f t="shared" ref="AC26:AE26" si="12">AVERAGE(AC11:AC19)</f>
        <v>4.7858028693373951E-3</v>
      </c>
      <c r="AD26" s="255">
        <f t="shared" si="12"/>
        <v>3.2505287070740692E-2</v>
      </c>
      <c r="AE26" s="255">
        <f t="shared" si="12"/>
        <v>1238.7315972924489</v>
      </c>
    </row>
    <row r="27" spans="1:31" x14ac:dyDescent="0.25">
      <c r="B27" s="151" t="s">
        <v>3</v>
      </c>
      <c r="C27" s="151"/>
      <c r="D27" s="151"/>
      <c r="E27" s="151"/>
      <c r="R27" s="261">
        <v>2034</v>
      </c>
      <c r="S27" s="262">
        <v>18000</v>
      </c>
      <c r="T27" s="262">
        <v>48200</v>
      </c>
      <c r="U27" s="262">
        <v>852700</v>
      </c>
      <c r="V27" s="262">
        <v>66</v>
      </c>
    </row>
    <row r="28" spans="1:31" ht="15" customHeight="1" x14ac:dyDescent="0.25">
      <c r="A28" s="152" t="s">
        <v>24</v>
      </c>
      <c r="B28" s="369" t="s">
        <v>310</v>
      </c>
      <c r="C28" s="369"/>
      <c r="D28" s="369"/>
      <c r="E28" s="369"/>
      <c r="F28" s="369"/>
      <c r="G28" s="369"/>
      <c r="H28" s="369"/>
      <c r="I28" s="369"/>
      <c r="J28" s="369"/>
      <c r="K28" s="369"/>
      <c r="L28" s="369"/>
      <c r="M28" s="369"/>
      <c r="R28" s="261">
        <v>2035</v>
      </c>
      <c r="S28" s="262">
        <v>18000</v>
      </c>
      <c r="T28" s="262">
        <v>48200</v>
      </c>
      <c r="U28" s="262">
        <v>852700</v>
      </c>
      <c r="V28" s="262">
        <v>67</v>
      </c>
    </row>
    <row r="29" spans="1:31" x14ac:dyDescent="0.25">
      <c r="B29" s="369"/>
      <c r="C29" s="369"/>
      <c r="D29" s="369"/>
      <c r="E29" s="369"/>
      <c r="F29" s="369"/>
      <c r="G29" s="369"/>
      <c r="H29" s="369"/>
      <c r="I29" s="369"/>
      <c r="J29" s="369"/>
      <c r="K29" s="369"/>
      <c r="L29" s="369"/>
      <c r="M29" s="369"/>
      <c r="R29" s="261">
        <v>2036</v>
      </c>
      <c r="S29" s="262">
        <v>18000</v>
      </c>
      <c r="T29" s="262">
        <v>48200</v>
      </c>
      <c r="U29" s="262">
        <v>852700</v>
      </c>
      <c r="V29" s="262">
        <v>68</v>
      </c>
    </row>
    <row r="30" spans="1:31" x14ac:dyDescent="0.25">
      <c r="B30" s="369"/>
      <c r="C30" s="369"/>
      <c r="D30" s="369"/>
      <c r="E30" s="369"/>
      <c r="F30" s="369"/>
      <c r="G30" s="369"/>
      <c r="H30" s="369"/>
      <c r="I30" s="369"/>
      <c r="J30" s="369"/>
      <c r="K30" s="369"/>
      <c r="L30" s="369"/>
      <c r="M30" s="369"/>
      <c r="R30" s="261">
        <v>2037</v>
      </c>
      <c r="S30" s="262">
        <v>18000</v>
      </c>
      <c r="T30" s="262">
        <v>48200</v>
      </c>
      <c r="U30" s="262">
        <v>852700</v>
      </c>
      <c r="V30" s="262">
        <v>69</v>
      </c>
    </row>
    <row r="31" spans="1:31" x14ac:dyDescent="0.25">
      <c r="B31" s="151"/>
      <c r="C31" s="151"/>
      <c r="D31" s="151"/>
      <c r="E31" s="151"/>
      <c r="R31" s="261">
        <v>2038</v>
      </c>
      <c r="S31" s="262">
        <v>18000</v>
      </c>
      <c r="T31" s="262">
        <v>48200</v>
      </c>
      <c r="U31" s="262">
        <v>852700</v>
      </c>
      <c r="V31" s="262">
        <v>70</v>
      </c>
    </row>
    <row r="32" spans="1:31" x14ac:dyDescent="0.25">
      <c r="A32" s="152" t="s">
        <v>23</v>
      </c>
      <c r="B32" s="369" t="s">
        <v>235</v>
      </c>
      <c r="C32" s="369"/>
      <c r="D32" s="369"/>
      <c r="E32" s="369"/>
      <c r="F32" s="369"/>
      <c r="G32" s="369"/>
      <c r="H32" s="369"/>
      <c r="I32" s="369"/>
      <c r="J32" s="369"/>
      <c r="K32" s="369"/>
      <c r="L32" s="369"/>
      <c r="M32" s="369"/>
      <c r="R32" s="261">
        <v>2039</v>
      </c>
      <c r="S32" s="262">
        <v>18000</v>
      </c>
      <c r="T32" s="262">
        <v>48200</v>
      </c>
      <c r="U32" s="262">
        <v>852700</v>
      </c>
      <c r="V32" s="262">
        <v>71</v>
      </c>
    </row>
    <row r="33" spans="1:24" x14ac:dyDescent="0.25">
      <c r="B33" s="369"/>
      <c r="C33" s="369"/>
      <c r="D33" s="369"/>
      <c r="E33" s="369"/>
      <c r="F33" s="369"/>
      <c r="G33" s="369"/>
      <c r="H33" s="369"/>
      <c r="I33" s="369"/>
      <c r="J33" s="369"/>
      <c r="K33" s="369"/>
      <c r="L33" s="369"/>
      <c r="M33" s="369"/>
      <c r="R33" s="261">
        <v>2040</v>
      </c>
      <c r="S33" s="262">
        <v>18000</v>
      </c>
      <c r="T33" s="262">
        <v>48200</v>
      </c>
      <c r="U33" s="262">
        <v>852700</v>
      </c>
      <c r="V33" s="262">
        <v>72</v>
      </c>
    </row>
    <row r="34" spans="1:24" x14ac:dyDescent="0.25">
      <c r="A34" s="152"/>
      <c r="B34" s="50"/>
      <c r="C34" s="50"/>
      <c r="D34" s="50"/>
      <c r="E34" s="50"/>
      <c r="F34" s="21"/>
      <c r="G34" s="214"/>
      <c r="H34" s="214"/>
      <c r="I34" s="21"/>
      <c r="R34" s="261">
        <v>2041</v>
      </c>
      <c r="S34" s="262">
        <v>18000</v>
      </c>
      <c r="T34" s="262">
        <v>48200</v>
      </c>
      <c r="U34" s="262">
        <v>852700</v>
      </c>
      <c r="V34" s="262">
        <v>73</v>
      </c>
    </row>
    <row r="35" spans="1:24" x14ac:dyDescent="0.25">
      <c r="A35" s="152"/>
      <c r="B35" s="50"/>
      <c r="C35" s="50"/>
      <c r="D35" s="50"/>
      <c r="E35" s="50"/>
      <c r="F35" s="50"/>
      <c r="G35" s="50"/>
      <c r="H35" s="50"/>
      <c r="I35" s="50"/>
      <c r="J35" s="50"/>
      <c r="K35" s="50"/>
      <c r="L35" s="50"/>
      <c r="M35" s="50"/>
      <c r="Q35" s="214"/>
      <c r="R35" s="261">
        <v>2042</v>
      </c>
      <c r="S35" s="262">
        <v>18000</v>
      </c>
      <c r="T35" s="262">
        <v>48200</v>
      </c>
      <c r="U35" s="262">
        <v>852700</v>
      </c>
      <c r="V35" s="262">
        <v>75</v>
      </c>
    </row>
    <row r="36" spans="1:24" x14ac:dyDescent="0.25">
      <c r="B36" s="50"/>
      <c r="C36" s="50"/>
      <c r="D36" s="50"/>
      <c r="E36" s="50"/>
      <c r="F36" s="50"/>
      <c r="G36" s="50"/>
      <c r="H36" s="50"/>
      <c r="I36" s="50"/>
      <c r="J36" s="50"/>
      <c r="K36" s="50"/>
      <c r="L36" s="50"/>
      <c r="M36" s="50"/>
      <c r="Q36" s="214"/>
      <c r="R36" s="261">
        <v>2043</v>
      </c>
      <c r="S36" s="262">
        <v>18000</v>
      </c>
      <c r="T36" s="262">
        <v>48200</v>
      </c>
      <c r="U36" s="262">
        <v>852700</v>
      </c>
      <c r="V36" s="262">
        <v>76</v>
      </c>
    </row>
    <row r="37" spans="1:24" x14ac:dyDescent="0.25">
      <c r="A37" s="152"/>
      <c r="B37" s="50"/>
      <c r="C37" s="50"/>
      <c r="D37" s="50"/>
      <c r="E37" s="50"/>
      <c r="F37" s="50"/>
      <c r="G37" s="50"/>
      <c r="H37" s="50"/>
      <c r="I37" s="50"/>
      <c r="J37" s="50"/>
      <c r="K37" s="50"/>
      <c r="L37" s="50"/>
      <c r="M37" s="50"/>
      <c r="R37" s="261">
        <v>2044</v>
      </c>
      <c r="S37" s="262">
        <v>18000</v>
      </c>
      <c r="T37" s="262">
        <v>48200</v>
      </c>
      <c r="U37" s="262">
        <v>852700</v>
      </c>
      <c r="V37" s="262">
        <v>77</v>
      </c>
    </row>
    <row r="38" spans="1:24" ht="15" customHeight="1" x14ac:dyDescent="0.25">
      <c r="A38" s="152"/>
      <c r="B38" s="187"/>
      <c r="C38" s="187"/>
      <c r="D38" s="187"/>
      <c r="E38" s="187"/>
      <c r="F38" s="187"/>
      <c r="G38" s="187"/>
      <c r="H38" s="187"/>
      <c r="I38" s="187"/>
      <c r="R38" s="261">
        <v>2045</v>
      </c>
      <c r="S38" s="262">
        <v>18000</v>
      </c>
      <c r="T38" s="262">
        <v>48200</v>
      </c>
      <c r="U38" s="262">
        <v>852700</v>
      </c>
      <c r="V38" s="262">
        <v>78</v>
      </c>
    </row>
    <row r="39" spans="1:24" x14ac:dyDescent="0.25">
      <c r="A39" s="152"/>
      <c r="B39" s="187"/>
      <c r="C39" s="187"/>
      <c r="D39" s="187"/>
      <c r="E39" s="187"/>
      <c r="F39" s="187"/>
      <c r="G39" s="187"/>
      <c r="H39" s="187"/>
      <c r="I39" s="187"/>
      <c r="R39" s="261">
        <v>2046</v>
      </c>
      <c r="S39" s="262">
        <v>18000</v>
      </c>
      <c r="T39" s="262">
        <v>48200</v>
      </c>
      <c r="U39" s="262">
        <v>852700</v>
      </c>
      <c r="V39" s="262">
        <v>79</v>
      </c>
    </row>
    <row r="40" spans="1:24" x14ac:dyDescent="0.25">
      <c r="A40" s="152"/>
      <c r="B40" s="187"/>
      <c r="C40" s="187"/>
      <c r="D40" s="187"/>
      <c r="E40" s="187"/>
      <c r="F40" s="187"/>
      <c r="G40" s="187"/>
      <c r="H40" s="187"/>
      <c r="I40" s="187"/>
      <c r="R40" s="261">
        <v>2047</v>
      </c>
      <c r="S40" s="262">
        <v>18000</v>
      </c>
      <c r="T40" s="262">
        <v>48200</v>
      </c>
      <c r="U40" s="262">
        <v>852700</v>
      </c>
      <c r="V40" s="262">
        <v>80</v>
      </c>
    </row>
    <row r="41" spans="1:24" x14ac:dyDescent="0.25">
      <c r="A41" s="152"/>
      <c r="B41" s="187"/>
      <c r="C41" s="187"/>
      <c r="D41" s="187"/>
      <c r="E41" s="187"/>
      <c r="F41" s="187"/>
      <c r="G41" s="187"/>
      <c r="H41" s="187"/>
      <c r="I41" s="187"/>
      <c r="R41" s="261">
        <v>2048</v>
      </c>
      <c r="S41" s="262">
        <v>18000</v>
      </c>
      <c r="T41" s="262">
        <v>48200</v>
      </c>
      <c r="U41" s="262">
        <v>852700</v>
      </c>
      <c r="V41" s="262">
        <v>81</v>
      </c>
    </row>
    <row r="42" spans="1:24" ht="15" customHeight="1" x14ac:dyDescent="0.25">
      <c r="A42" s="152"/>
      <c r="B42" s="187"/>
      <c r="C42" s="187"/>
      <c r="D42" s="187"/>
      <c r="E42" s="187"/>
      <c r="F42" s="187"/>
      <c r="G42" s="187"/>
      <c r="H42" s="187"/>
      <c r="I42" s="187"/>
      <c r="R42" s="261">
        <v>2049</v>
      </c>
      <c r="S42" s="262">
        <v>18000</v>
      </c>
      <c r="T42" s="262">
        <v>48200</v>
      </c>
      <c r="U42" s="262">
        <v>852700</v>
      </c>
      <c r="V42" s="262">
        <v>83</v>
      </c>
    </row>
    <row r="43" spans="1:24" ht="15.75" customHeight="1" x14ac:dyDescent="0.25">
      <c r="A43" s="152"/>
      <c r="B43" s="50"/>
      <c r="C43" s="50"/>
      <c r="D43" s="50"/>
      <c r="E43" s="50"/>
      <c r="F43" s="21"/>
      <c r="G43" s="21"/>
      <c r="H43" s="21"/>
      <c r="I43" s="21"/>
      <c r="N43" s="277"/>
      <c r="O43" s="277"/>
      <c r="P43" s="277"/>
      <c r="R43" s="261">
        <v>2050</v>
      </c>
      <c r="S43" s="262">
        <v>18000</v>
      </c>
      <c r="T43" s="262">
        <v>48200</v>
      </c>
      <c r="U43" s="262">
        <v>852700</v>
      </c>
      <c r="V43" s="262">
        <v>84</v>
      </c>
    </row>
    <row r="44" spans="1:24" x14ac:dyDescent="0.25">
      <c r="B44" s="50"/>
      <c r="C44" s="50"/>
      <c r="D44" s="50"/>
      <c r="E44" s="50"/>
      <c r="F44" s="21"/>
      <c r="G44" s="21"/>
      <c r="H44" s="21"/>
      <c r="I44" s="21"/>
      <c r="N44" s="277"/>
      <c r="O44" s="277"/>
      <c r="P44" s="277"/>
      <c r="R44" s="278">
        <v>2051</v>
      </c>
      <c r="S44" s="279">
        <f>S43</f>
        <v>18000</v>
      </c>
      <c r="T44" s="279">
        <f t="shared" ref="T44:V48" si="13">T43</f>
        <v>48200</v>
      </c>
      <c r="U44" s="279">
        <f t="shared" si="13"/>
        <v>852700</v>
      </c>
      <c r="V44" s="279">
        <f>V43</f>
        <v>84</v>
      </c>
      <c r="W44" s="419" t="s">
        <v>236</v>
      </c>
      <c r="X44" s="369"/>
    </row>
    <row r="45" spans="1:24" ht="15" customHeight="1" x14ac:dyDescent="0.25">
      <c r="B45" s="50"/>
      <c r="C45" s="50"/>
      <c r="D45" s="50"/>
      <c r="E45" s="50"/>
      <c r="F45" s="21"/>
      <c r="G45" s="21"/>
      <c r="H45" s="21"/>
      <c r="I45" s="21"/>
      <c r="L45" s="214"/>
      <c r="M45" s="214"/>
      <c r="N45" s="277"/>
      <c r="O45" s="277"/>
      <c r="P45" s="277"/>
      <c r="R45" s="278">
        <v>2052</v>
      </c>
      <c r="S45" s="279">
        <f t="shared" ref="S45:S48" si="14">S44</f>
        <v>18000</v>
      </c>
      <c r="T45" s="279">
        <f t="shared" si="13"/>
        <v>48200</v>
      </c>
      <c r="U45" s="279">
        <f t="shared" si="13"/>
        <v>852700</v>
      </c>
      <c r="V45" s="279">
        <f t="shared" si="13"/>
        <v>84</v>
      </c>
      <c r="W45" s="419"/>
      <c r="X45" s="369"/>
    </row>
    <row r="46" spans="1:24" x14ac:dyDescent="0.25">
      <c r="B46" s="50"/>
      <c r="C46" s="50"/>
      <c r="D46" s="50"/>
      <c r="E46" s="50"/>
      <c r="F46" s="21"/>
      <c r="G46" s="21"/>
      <c r="H46" s="21"/>
      <c r="I46" s="21"/>
      <c r="L46" s="214"/>
      <c r="M46" s="214"/>
      <c r="R46" s="278">
        <v>2053</v>
      </c>
      <c r="S46" s="279">
        <f t="shared" si="14"/>
        <v>18000</v>
      </c>
      <c r="T46" s="279">
        <f t="shared" si="13"/>
        <v>48200</v>
      </c>
      <c r="U46" s="279">
        <f t="shared" si="13"/>
        <v>852700</v>
      </c>
      <c r="V46" s="279">
        <f t="shared" si="13"/>
        <v>84</v>
      </c>
      <c r="W46" s="419"/>
      <c r="X46" s="369"/>
    </row>
    <row r="47" spans="1:24" x14ac:dyDescent="0.25">
      <c r="A47" s="152"/>
      <c r="B47" s="50"/>
      <c r="C47" s="50"/>
      <c r="D47" s="50"/>
      <c r="E47" s="50"/>
      <c r="F47" s="21"/>
      <c r="G47" s="21"/>
      <c r="H47" s="21"/>
      <c r="I47" s="21"/>
      <c r="L47" s="214"/>
      <c r="M47" s="214"/>
      <c r="R47" s="278">
        <v>2054</v>
      </c>
      <c r="S47" s="279">
        <f t="shared" si="14"/>
        <v>18000</v>
      </c>
      <c r="T47" s="279">
        <f t="shared" si="13"/>
        <v>48200</v>
      </c>
      <c r="U47" s="279">
        <f t="shared" si="13"/>
        <v>852700</v>
      </c>
      <c r="V47" s="279">
        <f t="shared" si="13"/>
        <v>84</v>
      </c>
      <c r="W47" s="419"/>
      <c r="X47" s="369"/>
    </row>
    <row r="48" spans="1:24" x14ac:dyDescent="0.25">
      <c r="B48" s="50"/>
      <c r="C48" s="50"/>
      <c r="D48" s="50"/>
      <c r="E48" s="50"/>
      <c r="F48" s="21"/>
      <c r="G48" s="21"/>
      <c r="H48" s="21"/>
      <c r="I48" s="21"/>
      <c r="L48" s="214"/>
      <c r="M48" s="214"/>
      <c r="R48" s="278">
        <v>2055</v>
      </c>
      <c r="S48" s="279">
        <f t="shared" si="14"/>
        <v>18000</v>
      </c>
      <c r="T48" s="279">
        <f t="shared" si="13"/>
        <v>48200</v>
      </c>
      <c r="U48" s="279">
        <f t="shared" si="13"/>
        <v>852700</v>
      </c>
      <c r="V48" s="279">
        <f t="shared" si="13"/>
        <v>84</v>
      </c>
      <c r="W48" s="419"/>
      <c r="X48" s="369"/>
    </row>
    <row r="49" spans="1:13" x14ac:dyDescent="0.25">
      <c r="B49" s="50"/>
      <c r="C49" s="50"/>
      <c r="D49" s="50"/>
      <c r="E49" s="50"/>
      <c r="F49" s="21"/>
      <c r="G49" s="21"/>
      <c r="H49" s="21"/>
      <c r="I49" s="21"/>
      <c r="J49" s="214"/>
      <c r="K49" s="214"/>
      <c r="L49" s="214"/>
      <c r="M49" s="214"/>
    </row>
    <row r="50" spans="1:13" x14ac:dyDescent="0.25">
      <c r="B50" s="50"/>
      <c r="C50" s="50"/>
      <c r="D50" s="50"/>
      <c r="E50" s="50"/>
      <c r="F50" s="21"/>
      <c r="G50" s="21"/>
      <c r="H50" s="21"/>
      <c r="I50" s="21"/>
      <c r="J50" s="214"/>
      <c r="K50" s="214"/>
      <c r="L50" s="214"/>
      <c r="M50" s="214"/>
    </row>
    <row r="51" spans="1:13" x14ac:dyDescent="0.25">
      <c r="B51" s="50"/>
      <c r="C51" s="50"/>
      <c r="D51" s="50"/>
      <c r="E51" s="50"/>
      <c r="F51" s="21"/>
      <c r="G51" s="21"/>
      <c r="H51" s="21"/>
      <c r="I51" s="21"/>
      <c r="L51" s="214"/>
      <c r="M51" s="214"/>
    </row>
    <row r="52" spans="1:13" x14ac:dyDescent="0.25">
      <c r="B52" s="50"/>
      <c r="C52" s="50"/>
      <c r="D52" s="50"/>
      <c r="E52" s="50"/>
      <c r="F52" s="21"/>
      <c r="G52" s="21"/>
      <c r="H52" s="21"/>
      <c r="I52" s="21"/>
    </row>
    <row r="53" spans="1:13" x14ac:dyDescent="0.25">
      <c r="B53" s="50"/>
      <c r="C53" s="50"/>
      <c r="D53" s="50"/>
      <c r="E53" s="50"/>
      <c r="F53" s="21"/>
      <c r="G53" s="21"/>
      <c r="H53" s="21"/>
      <c r="I53" s="21"/>
      <c r="J53" s="21"/>
      <c r="K53" s="21"/>
    </row>
    <row r="54" spans="1:13" x14ac:dyDescent="0.25">
      <c r="B54" s="50"/>
      <c r="C54" s="50"/>
      <c r="D54" s="50"/>
      <c r="E54" s="50"/>
      <c r="F54" s="21"/>
      <c r="G54" s="21"/>
      <c r="H54" s="21"/>
      <c r="I54" s="21"/>
      <c r="J54" s="21"/>
      <c r="K54" s="21"/>
    </row>
    <row r="55" spans="1:13" x14ac:dyDescent="0.25">
      <c r="A55" s="152"/>
      <c r="B55" s="50"/>
      <c r="C55" s="50"/>
      <c r="D55" s="50"/>
      <c r="E55" s="50"/>
      <c r="F55" s="21"/>
      <c r="G55" s="21"/>
      <c r="H55" s="21"/>
      <c r="I55" s="21"/>
      <c r="J55" s="21"/>
      <c r="K55" s="21"/>
    </row>
    <row r="56" spans="1:13" x14ac:dyDescent="0.25">
      <c r="J56" s="21"/>
      <c r="K56" s="21"/>
    </row>
    <row r="57" spans="1:13" x14ac:dyDescent="0.25">
      <c r="F57" s="214"/>
      <c r="I57" s="214"/>
      <c r="J57" s="21"/>
      <c r="K57" s="21"/>
    </row>
    <row r="58" spans="1:13" x14ac:dyDescent="0.25">
      <c r="B58" s="214"/>
      <c r="C58" s="214"/>
      <c r="D58" s="214"/>
      <c r="E58" s="214"/>
      <c r="F58" s="214"/>
      <c r="I58" s="214"/>
      <c r="J58" s="21"/>
      <c r="K58" s="21"/>
    </row>
    <row r="59" spans="1:13" x14ac:dyDescent="0.25">
      <c r="J59" s="21"/>
      <c r="K59" s="21"/>
    </row>
    <row r="60" spans="1:13" x14ac:dyDescent="0.25">
      <c r="A60" s="152"/>
      <c r="B60" s="21"/>
      <c r="C60" s="21"/>
      <c r="D60" s="21"/>
      <c r="E60" s="21"/>
      <c r="F60" s="21"/>
      <c r="G60" s="21"/>
      <c r="H60" s="21"/>
      <c r="I60" s="21"/>
      <c r="J60" s="21"/>
      <c r="K60" s="21"/>
    </row>
    <row r="61" spans="1:13" x14ac:dyDescent="0.25">
      <c r="B61" s="21"/>
      <c r="C61" s="21"/>
      <c r="D61" s="21"/>
      <c r="E61" s="21"/>
      <c r="F61" s="21"/>
      <c r="G61" s="21"/>
      <c r="H61" s="21"/>
      <c r="J61" s="21"/>
      <c r="K61" s="21"/>
    </row>
    <row r="62" spans="1:13" x14ac:dyDescent="0.25">
      <c r="J62" s="21"/>
      <c r="K62" s="21"/>
    </row>
    <row r="63" spans="1:13" x14ac:dyDescent="0.25">
      <c r="A63" s="152"/>
      <c r="J63" s="21"/>
      <c r="K63" s="21"/>
    </row>
    <row r="64" spans="1:13" x14ac:dyDescent="0.25">
      <c r="J64" s="21"/>
      <c r="K64" s="21"/>
    </row>
    <row r="67" spans="10:12" x14ac:dyDescent="0.25">
      <c r="L67" s="21"/>
    </row>
    <row r="69" spans="10:12" x14ac:dyDescent="0.25">
      <c r="J69" s="21"/>
      <c r="K69" s="21"/>
    </row>
  </sheetData>
  <mergeCells count="21">
    <mergeCell ref="C2:E2"/>
    <mergeCell ref="F2:N2"/>
    <mergeCell ref="O2:P2"/>
    <mergeCell ref="B3:B4"/>
    <mergeCell ref="C3:C4"/>
    <mergeCell ref="D3:D4"/>
    <mergeCell ref="E3:E4"/>
    <mergeCell ref="F3:F4"/>
    <mergeCell ref="G3:G4"/>
    <mergeCell ref="H3:H4"/>
    <mergeCell ref="O3:O4"/>
    <mergeCell ref="P3:P4"/>
    <mergeCell ref="B28:M30"/>
    <mergeCell ref="B32:M33"/>
    <mergeCell ref="W44:X48"/>
    <mergeCell ref="I3:I4"/>
    <mergeCell ref="J3:J4"/>
    <mergeCell ref="K3:K4"/>
    <mergeCell ref="L3:L4"/>
    <mergeCell ref="M3:M4"/>
    <mergeCell ref="N3:N4"/>
  </mergeCells>
  <pageMargins left="0.25" right="0.25" top="0.75" bottom="0.75" header="0.3" footer="0.3"/>
  <pageSetup paperSize="3"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FAAC-BE5F-4DF4-95A3-5D17465397C7}">
  <sheetPr>
    <tabColor rgb="FFC00000"/>
    <pageSetUpPr fitToPage="1"/>
  </sheetPr>
  <dimension ref="A1:M63"/>
  <sheetViews>
    <sheetView view="pageBreakPreview" zoomScale="85" zoomScaleNormal="85" zoomScaleSheetLayoutView="85" workbookViewId="0">
      <selection activeCell="H28" sqref="H28"/>
    </sheetView>
  </sheetViews>
  <sheetFormatPr defaultRowHeight="15" x14ac:dyDescent="0.25"/>
  <cols>
    <col min="1" max="1" width="5.140625" style="220" customWidth="1"/>
    <col min="2" max="7" width="15.7109375" style="220" customWidth="1"/>
    <col min="8" max="8" width="27.85546875" style="220" customWidth="1"/>
    <col min="9" max="10" width="21.140625" style="220" customWidth="1"/>
    <col min="11" max="11" width="16" style="220" customWidth="1"/>
    <col min="12" max="12" width="20.5703125" style="220" customWidth="1"/>
    <col min="13" max="13" width="16" style="220" customWidth="1"/>
    <col min="14" max="14" width="13.140625" style="220" customWidth="1"/>
    <col min="15" max="16384" width="9.140625" style="220"/>
  </cols>
  <sheetData>
    <row r="1" spans="2:13" x14ac:dyDescent="0.25">
      <c r="B1" s="220">
        <v>1</v>
      </c>
      <c r="C1" s="220">
        <f t="shared" ref="C1:F1" si="0">B1+1</f>
        <v>2</v>
      </c>
      <c r="D1" s="220">
        <f t="shared" si="0"/>
        <v>3</v>
      </c>
      <c r="E1" s="220">
        <f t="shared" si="0"/>
        <v>4</v>
      </c>
      <c r="F1" s="220">
        <f t="shared" si="0"/>
        <v>5</v>
      </c>
    </row>
    <row r="2" spans="2:13" x14ac:dyDescent="0.25">
      <c r="B2" s="151" t="s">
        <v>51</v>
      </c>
    </row>
    <row r="3" spans="2:13" ht="15.75" customHeight="1" x14ac:dyDescent="0.25">
      <c r="C3" s="123"/>
      <c r="D3" s="123"/>
      <c r="E3" s="123"/>
      <c r="F3" s="123"/>
    </row>
    <row r="4" spans="2:13" ht="15.75" thickBot="1" x14ac:dyDescent="0.3">
      <c r="C4" s="108"/>
      <c r="D4" s="108"/>
      <c r="E4" s="108"/>
      <c r="F4" s="108"/>
    </row>
    <row r="5" spans="2:13" ht="15.75" customHeight="1" x14ac:dyDescent="0.25">
      <c r="B5" s="380" t="s">
        <v>0</v>
      </c>
      <c r="C5" s="382" t="s">
        <v>26</v>
      </c>
      <c r="D5" s="384" t="s">
        <v>1</v>
      </c>
      <c r="E5" s="386" t="s">
        <v>47</v>
      </c>
      <c r="F5" s="370" t="s">
        <v>48</v>
      </c>
      <c r="H5" s="151" t="s">
        <v>32</v>
      </c>
    </row>
    <row r="6" spans="2:13" ht="15.75" customHeight="1" thickBot="1" x14ac:dyDescent="0.3">
      <c r="B6" s="381"/>
      <c r="C6" s="383"/>
      <c r="D6" s="385"/>
      <c r="E6" s="387"/>
      <c r="F6" s="371"/>
      <c r="I6" s="139" t="s">
        <v>54</v>
      </c>
      <c r="J6" s="104"/>
      <c r="M6" s="103"/>
    </row>
    <row r="7" spans="2:13" ht="15.75" customHeight="1" x14ac:dyDescent="0.25">
      <c r="B7" s="302">
        <f>'Global Assumptions'!$C$6</f>
        <v>2019</v>
      </c>
      <c r="C7" s="308">
        <f t="shared" ref="C7:C44" si="1">IF(AND($B7&gt;=$I$7,$B7&lt;$I$7+$I$8),($J$21)/$I$8,0)</f>
        <v>0</v>
      </c>
      <c r="D7" s="303">
        <f>C7*(1+0.07)^-($B7-'Global Assumptions'!$C$6)</f>
        <v>0</v>
      </c>
      <c r="E7" s="309">
        <f>IF($B7=$I$11,'D_EV Charging Costs'!$J$31,0)</f>
        <v>0</v>
      </c>
      <c r="F7" s="303">
        <f>E7*(1+0.07)^-($B7-'Global Assumptions'!$C$6)</f>
        <v>0</v>
      </c>
      <c r="H7" s="153" t="s">
        <v>33</v>
      </c>
      <c r="I7" s="95">
        <v>2020</v>
      </c>
      <c r="J7" s="9"/>
      <c r="M7" s="103"/>
    </row>
    <row r="8" spans="2:13" ht="15.75" customHeight="1" x14ac:dyDescent="0.25">
      <c r="B8" s="106">
        <f>B7+1</f>
        <v>2020</v>
      </c>
      <c r="C8" s="304">
        <f t="shared" si="1"/>
        <v>13333.333333333334</v>
      </c>
      <c r="D8" s="305">
        <f>C8*(1+0.07)^-($B8-'Global Assumptions'!$C$6)</f>
        <v>12461.059190031154</v>
      </c>
      <c r="E8" s="310">
        <f>IF($B8=$I$11,'D_EV Charging Costs'!$J$31,0)</f>
        <v>0</v>
      </c>
      <c r="F8" s="305">
        <f>E8*(1+0.07)^-($B8-'Global Assumptions'!$C$6)</f>
        <v>0</v>
      </c>
      <c r="H8" s="153" t="s">
        <v>31</v>
      </c>
      <c r="I8" s="95">
        <v>3</v>
      </c>
      <c r="J8" s="105"/>
      <c r="M8" s="103"/>
    </row>
    <row r="9" spans="2:13" ht="15.75" customHeight="1" x14ac:dyDescent="0.25">
      <c r="B9" s="106">
        <f t="shared" ref="B9:B44" si="2">B8+1</f>
        <v>2021</v>
      </c>
      <c r="C9" s="306">
        <f t="shared" si="1"/>
        <v>13333.333333333334</v>
      </c>
      <c r="D9" s="71">
        <f>C9*(1+0.07)^-($B9-'Global Assumptions'!$C$6)</f>
        <v>11645.849710309489</v>
      </c>
      <c r="E9" s="301">
        <f>IF($B9=$I$11,'D_EV Charging Costs'!$J$31,0)</f>
        <v>0</v>
      </c>
      <c r="F9" s="71">
        <f>E9*(1+0.07)^-($B9-'Global Assumptions'!$C$6)</f>
        <v>0</v>
      </c>
      <c r="H9" s="64" t="s">
        <v>59</v>
      </c>
      <c r="I9" s="65">
        <v>10</v>
      </c>
      <c r="J9" s="105"/>
      <c r="M9" s="103"/>
    </row>
    <row r="10" spans="2:13" ht="15.75" customHeight="1" x14ac:dyDescent="0.25">
      <c r="B10" s="106">
        <f t="shared" si="2"/>
        <v>2022</v>
      </c>
      <c r="C10" s="306">
        <f t="shared" si="1"/>
        <v>13333.333333333334</v>
      </c>
      <c r="D10" s="71">
        <f>C10*(1+0.07)^-($B10-'Global Assumptions'!$C$6)</f>
        <v>10883.971691878025</v>
      </c>
      <c r="E10" s="301">
        <f>IF($B10=$I$11,'D_EV Charging Costs'!$J$31,0)</f>
        <v>0</v>
      </c>
      <c r="F10" s="71">
        <f>E10*(1+0.07)^-($B10-'Global Assumptions'!$C$6)</f>
        <v>0</v>
      </c>
      <c r="H10" s="64" t="s">
        <v>53</v>
      </c>
      <c r="I10" s="65">
        <f>I7+I8</f>
        <v>2023</v>
      </c>
      <c r="M10" s="103"/>
    </row>
    <row r="11" spans="2:13" ht="15.75" customHeight="1" x14ac:dyDescent="0.25">
      <c r="B11" s="106">
        <f t="shared" si="2"/>
        <v>2023</v>
      </c>
      <c r="C11" s="306">
        <f t="shared" si="1"/>
        <v>0</v>
      </c>
      <c r="D11" s="71">
        <f>C11*(1+0.07)^-($B11-'Global Assumptions'!$C$6)</f>
        <v>0</v>
      </c>
      <c r="E11" s="301">
        <f>IF($B11=$I$11,'D_EV Charging Costs'!$J$31,0)</f>
        <v>0</v>
      </c>
      <c r="F11" s="71">
        <f>E11*(1+0.07)^-($B11-'Global Assumptions'!$C$6)</f>
        <v>0</v>
      </c>
      <c r="H11" s="64" t="s">
        <v>43</v>
      </c>
      <c r="I11" s="65">
        <f>I10+I9-1</f>
        <v>2032</v>
      </c>
      <c r="M11" s="103"/>
    </row>
    <row r="12" spans="2:13" ht="15.75" customHeight="1" x14ac:dyDescent="0.25">
      <c r="B12" s="106">
        <f t="shared" si="2"/>
        <v>2024</v>
      </c>
      <c r="C12" s="306">
        <f t="shared" si="1"/>
        <v>0</v>
      </c>
      <c r="D12" s="71">
        <f>C12*(1+0.07)^-($B12-'Global Assumptions'!$C$6)</f>
        <v>0</v>
      </c>
      <c r="E12" s="301">
        <f>IF($B12=$I$11,'D_EV Charging Costs'!$J$31,0)</f>
        <v>0</v>
      </c>
      <c r="F12" s="71">
        <f>E12*(1+0.07)^-($B12-'Global Assumptions'!$C$6)</f>
        <v>0</v>
      </c>
      <c r="H12" s="64" t="s">
        <v>75</v>
      </c>
      <c r="I12" s="65" t="s">
        <v>76</v>
      </c>
      <c r="M12" s="103"/>
    </row>
    <row r="13" spans="2:13" ht="15.75" customHeight="1" x14ac:dyDescent="0.25">
      <c r="B13" s="106">
        <f t="shared" si="2"/>
        <v>2025</v>
      </c>
      <c r="C13" s="306">
        <f t="shared" si="1"/>
        <v>0</v>
      </c>
      <c r="D13" s="71">
        <f>C13*(1+0.07)^-($B13-'Global Assumptions'!$C$6)</f>
        <v>0</v>
      </c>
      <c r="E13" s="301">
        <f>IF($B13=$I$11,'D_EV Charging Costs'!$J$31,0)</f>
        <v>0</v>
      </c>
      <c r="F13" s="71">
        <f>E13*(1+0.07)^-($B13-'Global Assumptions'!$C$6)</f>
        <v>0</v>
      </c>
      <c r="H13" s="129"/>
      <c r="I13" s="130"/>
      <c r="M13" s="103"/>
    </row>
    <row r="14" spans="2:13" ht="15.75" customHeight="1" x14ac:dyDescent="0.25">
      <c r="B14" s="106">
        <f t="shared" si="2"/>
        <v>2026</v>
      </c>
      <c r="C14" s="306">
        <f t="shared" si="1"/>
        <v>0</v>
      </c>
      <c r="D14" s="71">
        <f>C14*(1+0.07)^-($B14-'Global Assumptions'!$C$6)</f>
        <v>0</v>
      </c>
      <c r="E14" s="301">
        <f>IF($B14=$I$11,'D_EV Charging Costs'!$J$31,0)</f>
        <v>0</v>
      </c>
      <c r="F14" s="71">
        <f>E14*(1+0.07)^-($B14-'Global Assumptions'!$C$6)</f>
        <v>0</v>
      </c>
      <c r="H14" s="22" t="s">
        <v>34</v>
      </c>
      <c r="J14" s="124"/>
      <c r="K14" s="22"/>
    </row>
    <row r="15" spans="2:13" ht="15.75" customHeight="1" x14ac:dyDescent="0.25">
      <c r="B15" s="106">
        <f t="shared" si="2"/>
        <v>2027</v>
      </c>
      <c r="C15" s="306">
        <f t="shared" si="1"/>
        <v>0</v>
      </c>
      <c r="D15" s="71">
        <f>C15*(1+0.07)^-($B15-'Global Assumptions'!$C$6)</f>
        <v>0</v>
      </c>
      <c r="E15" s="301">
        <f>IF($B15=$I$11,'D_EV Charging Costs'!$J$31,0)</f>
        <v>0</v>
      </c>
      <c r="F15" s="71">
        <f>E15*(1+0.07)^-($B15-'Global Assumptions'!$C$6)</f>
        <v>0</v>
      </c>
      <c r="H15" s="397" t="s">
        <v>4</v>
      </c>
      <c r="I15" s="390" t="s">
        <v>5</v>
      </c>
      <c r="J15" s="393" t="s">
        <v>261</v>
      </c>
      <c r="K15" s="73"/>
    </row>
    <row r="16" spans="2:13" ht="15.75" customHeight="1" x14ac:dyDescent="0.25">
      <c r="B16" s="106">
        <f t="shared" si="2"/>
        <v>2028</v>
      </c>
      <c r="C16" s="306">
        <f t="shared" si="1"/>
        <v>0</v>
      </c>
      <c r="D16" s="71">
        <f>C16*(1+0.07)^-($B16-'Global Assumptions'!$C$6)</f>
        <v>0</v>
      </c>
      <c r="E16" s="301">
        <f>IF($B16=$I$11,'D_EV Charging Costs'!$J$31,0)</f>
        <v>0</v>
      </c>
      <c r="F16" s="71">
        <f>E16*(1+0.07)^-($B16-'Global Assumptions'!$C$6)</f>
        <v>0</v>
      </c>
      <c r="H16" s="398"/>
      <c r="I16" s="391"/>
      <c r="J16" s="394"/>
      <c r="K16" s="73"/>
    </row>
    <row r="17" spans="2:11" ht="15.75" customHeight="1" x14ac:dyDescent="0.25">
      <c r="B17" s="106">
        <f t="shared" si="2"/>
        <v>2029</v>
      </c>
      <c r="C17" s="306">
        <f t="shared" si="1"/>
        <v>0</v>
      </c>
      <c r="D17" s="71">
        <f>C17*(1+0.07)^-($B17-'Global Assumptions'!$C$6)</f>
        <v>0</v>
      </c>
      <c r="E17" s="301">
        <f>IF($B17=$I$11,'D_EV Charging Costs'!$J$31,0)</f>
        <v>0</v>
      </c>
      <c r="F17" s="71">
        <f>E17*(1+0.07)^-($B17-'Global Assumptions'!$C$6)</f>
        <v>0</v>
      </c>
      <c r="H17" s="399"/>
      <c r="I17" s="392"/>
      <c r="J17" s="395"/>
      <c r="K17" s="73"/>
    </row>
    <row r="18" spans="2:11" ht="15.75" customHeight="1" x14ac:dyDescent="0.25">
      <c r="B18" s="106">
        <f t="shared" si="2"/>
        <v>2030</v>
      </c>
      <c r="C18" s="306">
        <f t="shared" si="1"/>
        <v>0</v>
      </c>
      <c r="D18" s="71">
        <f>C18*(1+0.07)^-($B18-'Global Assumptions'!$C$6)</f>
        <v>0</v>
      </c>
      <c r="E18" s="301">
        <f>IF($B18=$I$11,'D_EV Charging Costs'!$J$31,0)</f>
        <v>0</v>
      </c>
      <c r="F18" s="71">
        <f>E18*(1+0.07)^-($B18-'Global Assumptions'!$C$6)</f>
        <v>0</v>
      </c>
      <c r="H18" s="153" t="s">
        <v>260</v>
      </c>
      <c r="I18" s="28">
        <v>10</v>
      </c>
      <c r="J18" s="62">
        <v>40000</v>
      </c>
      <c r="K18" s="74"/>
    </row>
    <row r="19" spans="2:11" ht="15.75" customHeight="1" x14ac:dyDescent="0.25">
      <c r="B19" s="106">
        <f t="shared" si="2"/>
        <v>2031</v>
      </c>
      <c r="C19" s="306">
        <f t="shared" si="1"/>
        <v>0</v>
      </c>
      <c r="D19" s="71">
        <f>C19*(1+0.07)^-($B19-'Global Assumptions'!$C$6)</f>
        <v>0</v>
      </c>
      <c r="E19" s="301">
        <f>IF($B19=$I$11,'D_EV Charging Costs'!$J$31,0)</f>
        <v>0</v>
      </c>
      <c r="F19" s="71">
        <f>E19*(1+0.07)^-($B19-'Global Assumptions'!$C$6)</f>
        <v>0</v>
      </c>
      <c r="H19" s="153"/>
      <c r="I19" s="28"/>
      <c r="J19" s="62"/>
      <c r="K19" s="74"/>
    </row>
    <row r="20" spans="2:11" ht="15.75" customHeight="1" x14ac:dyDescent="0.25">
      <c r="B20" s="106">
        <f t="shared" si="2"/>
        <v>2032</v>
      </c>
      <c r="C20" s="306">
        <f t="shared" si="1"/>
        <v>0</v>
      </c>
      <c r="D20" s="71">
        <f>C20*(1+0.07)^-($B20-'Global Assumptions'!$C$6)</f>
        <v>0</v>
      </c>
      <c r="E20" s="301">
        <f>IF($B20=$I$11,'D_EV Charging Costs'!$J$31,0)</f>
        <v>0</v>
      </c>
      <c r="F20" s="71">
        <f>E20*(1+0.07)^-($B20-'Global Assumptions'!$C$6)</f>
        <v>0</v>
      </c>
      <c r="H20" s="153"/>
      <c r="I20" s="28"/>
      <c r="J20" s="62"/>
      <c r="K20" s="74"/>
    </row>
    <row r="21" spans="2:11" ht="15.75" customHeight="1" x14ac:dyDescent="0.25">
      <c r="B21" s="106">
        <f t="shared" si="2"/>
        <v>2033</v>
      </c>
      <c r="C21" s="306">
        <f t="shared" si="1"/>
        <v>0</v>
      </c>
      <c r="D21" s="71">
        <f>C21*(1+0.07)^-($B21-'Global Assumptions'!$C$6)</f>
        <v>0</v>
      </c>
      <c r="E21" s="301">
        <f>IF($B21=$I$11,'D_EV Charging Costs'!$J$31,0)</f>
        <v>0</v>
      </c>
      <c r="F21" s="71">
        <f>E21*(1+0.07)^-($B21-'Global Assumptions'!$C$6)</f>
        <v>0</v>
      </c>
      <c r="H21" s="396" t="s">
        <v>30</v>
      </c>
      <c r="I21" s="396"/>
      <c r="J21" s="26">
        <f>SUM(J18:J20)</f>
        <v>40000</v>
      </c>
      <c r="K21" s="75"/>
    </row>
    <row r="22" spans="2:11" ht="15.75" customHeight="1" x14ac:dyDescent="0.25">
      <c r="B22" s="106">
        <f t="shared" si="2"/>
        <v>2034</v>
      </c>
      <c r="C22" s="306">
        <f t="shared" si="1"/>
        <v>0</v>
      </c>
      <c r="D22" s="71">
        <f>C22*(1+0.07)^-($B22-'Global Assumptions'!$C$6)</f>
        <v>0</v>
      </c>
      <c r="E22" s="301">
        <f>IF($B22=$I$11,'D_EV Charging Costs'!$J$31,0)</f>
        <v>0</v>
      </c>
      <c r="F22" s="71">
        <f>E22*(1+0.07)^-($B22-'Global Assumptions'!$C$6)</f>
        <v>0</v>
      </c>
    </row>
    <row r="23" spans="2:11" ht="15.75" customHeight="1" x14ac:dyDescent="0.25">
      <c r="B23" s="106">
        <f t="shared" si="2"/>
        <v>2035</v>
      </c>
      <c r="C23" s="306">
        <f t="shared" si="1"/>
        <v>0</v>
      </c>
      <c r="D23" s="71">
        <f>C23*(1+0.07)^-($B23-'Global Assumptions'!$C$6)</f>
        <v>0</v>
      </c>
      <c r="E23" s="301">
        <f>IF($B23=$I$11,'D_EV Charging Costs'!$J$31,0)</f>
        <v>0</v>
      </c>
      <c r="F23" s="71">
        <f>E23*(1+0.07)^-($B23-'Global Assumptions'!$C$6)</f>
        <v>0</v>
      </c>
    </row>
    <row r="24" spans="2:11" ht="15.75" customHeight="1" x14ac:dyDescent="0.25">
      <c r="B24" s="106">
        <f t="shared" si="2"/>
        <v>2036</v>
      </c>
      <c r="C24" s="306">
        <f t="shared" si="1"/>
        <v>0</v>
      </c>
      <c r="D24" s="71">
        <f>C24*(1+0.07)^-($B24-'Global Assumptions'!$C$6)</f>
        <v>0</v>
      </c>
      <c r="E24" s="301">
        <f>IF($B24=$I$11,'D_EV Charging Costs'!$J$31,0)</f>
        <v>0</v>
      </c>
      <c r="F24" s="71">
        <f>E24*(1+0.07)^-($B24-'Global Assumptions'!$C$6)</f>
        <v>0</v>
      </c>
      <c r="H24" s="151" t="s">
        <v>49</v>
      </c>
      <c r="I24" s="7"/>
      <c r="J24" s="124"/>
      <c r="K24" s="22"/>
    </row>
    <row r="25" spans="2:11" ht="15.75" customHeight="1" x14ac:dyDescent="0.25">
      <c r="B25" s="106">
        <f t="shared" si="2"/>
        <v>2037</v>
      </c>
      <c r="C25" s="306">
        <f t="shared" si="1"/>
        <v>0</v>
      </c>
      <c r="D25" s="71">
        <f>C25*(1+0.07)^-($B25-'Global Assumptions'!$C$6)</f>
        <v>0</v>
      </c>
      <c r="E25" s="301">
        <f>IF($B25=$I$11,'D_EV Charging Costs'!$J$31,0)</f>
        <v>0</v>
      </c>
      <c r="F25" s="71">
        <f>E25*(1+0.07)^-($B25-'Global Assumptions'!$C$6)</f>
        <v>0</v>
      </c>
      <c r="H25" s="397" t="s">
        <v>4</v>
      </c>
      <c r="I25" s="400" t="s">
        <v>21</v>
      </c>
      <c r="J25" s="400" t="s">
        <v>22</v>
      </c>
      <c r="K25" s="76"/>
    </row>
    <row r="26" spans="2:11" ht="15.75" customHeight="1" x14ac:dyDescent="0.25">
      <c r="B26" s="106">
        <f t="shared" si="2"/>
        <v>2038</v>
      </c>
      <c r="C26" s="306">
        <f t="shared" si="1"/>
        <v>0</v>
      </c>
      <c r="D26" s="71">
        <f>C26*(1+0.07)^-($B26-'Global Assumptions'!$C$6)</f>
        <v>0</v>
      </c>
      <c r="E26" s="301">
        <f>IF($B26=$I$11,'D_EV Charging Costs'!$J$31,0)</f>
        <v>0</v>
      </c>
      <c r="F26" s="71">
        <f>E26*(1+0.07)^-($B26-'Global Assumptions'!$C$6)</f>
        <v>0</v>
      </c>
      <c r="H26" s="398"/>
      <c r="I26" s="401"/>
      <c r="J26" s="401"/>
      <c r="K26" s="76"/>
    </row>
    <row r="27" spans="2:11" ht="15.75" customHeight="1" x14ac:dyDescent="0.25">
      <c r="B27" s="106">
        <f t="shared" si="2"/>
        <v>2039</v>
      </c>
      <c r="C27" s="306">
        <f t="shared" si="1"/>
        <v>0</v>
      </c>
      <c r="D27" s="71">
        <f>C27*(1+0.07)^-($B27-'Global Assumptions'!$C$6)</f>
        <v>0</v>
      </c>
      <c r="E27" s="301">
        <f>IF($B27=$I$11,'D_EV Charging Costs'!$J$31,0)</f>
        <v>0</v>
      </c>
      <c r="F27" s="71">
        <f>E27*(1+0.07)^-($B27-'Global Assumptions'!$C$6)</f>
        <v>0</v>
      </c>
      <c r="H27" s="399"/>
      <c r="I27" s="402"/>
      <c r="J27" s="402"/>
      <c r="K27" s="76"/>
    </row>
    <row r="28" spans="2:11" ht="15.75" customHeight="1" x14ac:dyDescent="0.25">
      <c r="B28" s="106">
        <f t="shared" si="2"/>
        <v>2040</v>
      </c>
      <c r="C28" s="306">
        <f t="shared" si="1"/>
        <v>0</v>
      </c>
      <c r="D28" s="71">
        <f>C28*(1+0.07)^-($B28-'Global Assumptions'!$C$6)</f>
        <v>0</v>
      </c>
      <c r="E28" s="301">
        <f>IF($B28=$I$11,'D_EV Charging Costs'!$J$31,0)</f>
        <v>0</v>
      </c>
      <c r="F28" s="71">
        <f>E28*(1+0.07)^-($B28-'Global Assumptions'!$C$6)</f>
        <v>0</v>
      </c>
      <c r="H28" s="153" t="s">
        <v>260</v>
      </c>
      <c r="I28" s="78">
        <v>0</v>
      </c>
      <c r="J28" s="79">
        <f>$I28*J18</f>
        <v>0</v>
      </c>
      <c r="K28" s="77"/>
    </row>
    <row r="29" spans="2:11" ht="15.75" customHeight="1" x14ac:dyDescent="0.25">
      <c r="B29" s="106">
        <f t="shared" si="2"/>
        <v>2041</v>
      </c>
      <c r="C29" s="306">
        <f t="shared" si="1"/>
        <v>0</v>
      </c>
      <c r="D29" s="71">
        <f>C29*(1+0.07)^-($B29-'Global Assumptions'!$C$6)</f>
        <v>0</v>
      </c>
      <c r="E29" s="301">
        <f>IF($B29=$I$11,'D_EV Charging Costs'!$J$31,0)</f>
        <v>0</v>
      </c>
      <c r="F29" s="71">
        <f>E29*(1+0.07)^-($B29-'Global Assumptions'!$C$6)</f>
        <v>0</v>
      </c>
      <c r="H29" s="153"/>
      <c r="I29" s="78"/>
      <c r="J29" s="79"/>
      <c r="K29" s="77"/>
    </row>
    <row r="30" spans="2:11" ht="15.75" customHeight="1" x14ac:dyDescent="0.25">
      <c r="B30" s="106">
        <f t="shared" si="2"/>
        <v>2042</v>
      </c>
      <c r="C30" s="306">
        <f t="shared" si="1"/>
        <v>0</v>
      </c>
      <c r="D30" s="71">
        <f>C30*(1+0.07)^-($B30-'Global Assumptions'!$C$6)</f>
        <v>0</v>
      </c>
      <c r="E30" s="301">
        <f>IF($B30=$I$11,'D_EV Charging Costs'!$J$31,0)</f>
        <v>0</v>
      </c>
      <c r="F30" s="71">
        <f>E30*(1+0.07)^-($B30-'Global Assumptions'!$C$6)</f>
        <v>0</v>
      </c>
      <c r="H30" s="153"/>
      <c r="I30" s="78"/>
      <c r="J30" s="79"/>
      <c r="K30" s="77"/>
    </row>
    <row r="31" spans="2:11" ht="15.75" customHeight="1" x14ac:dyDescent="0.25">
      <c r="B31" s="106">
        <f t="shared" si="2"/>
        <v>2043</v>
      </c>
      <c r="C31" s="306">
        <f t="shared" si="1"/>
        <v>0</v>
      </c>
      <c r="D31" s="71">
        <f>C31*(1+0.07)^-($B31-'Global Assumptions'!$C$6)</f>
        <v>0</v>
      </c>
      <c r="E31" s="301">
        <f>IF($B31=$I$11,'D_EV Charging Costs'!$J$31,0)</f>
        <v>0</v>
      </c>
      <c r="F31" s="71">
        <f>E31*(1+0.07)^-($B31-'Global Assumptions'!$C$6)</f>
        <v>0</v>
      </c>
      <c r="H31" s="388" t="s">
        <v>27</v>
      </c>
      <c r="I31" s="389"/>
      <c r="J31" s="27">
        <f>SUM(J28:J30)</f>
        <v>0</v>
      </c>
      <c r="K31" s="75"/>
    </row>
    <row r="32" spans="2:11" ht="15.75" customHeight="1" x14ac:dyDescent="0.25">
      <c r="B32" s="106">
        <f t="shared" si="2"/>
        <v>2044</v>
      </c>
      <c r="C32" s="306">
        <f t="shared" si="1"/>
        <v>0</v>
      </c>
      <c r="D32" s="71">
        <f>C32*(1+0.07)^-($B32-'Global Assumptions'!$C$6)</f>
        <v>0</v>
      </c>
      <c r="E32" s="301">
        <f>IF($B32=$I$11,'D_EV Charging Costs'!$J$31,0)</f>
        <v>0</v>
      </c>
      <c r="F32" s="71">
        <f>E32*(1+0.07)^-($B32-'Global Assumptions'!$C$6)</f>
        <v>0</v>
      </c>
    </row>
    <row r="33" spans="1:9" ht="15.75" customHeight="1" x14ac:dyDescent="0.25">
      <c r="B33" s="106">
        <f t="shared" si="2"/>
        <v>2045</v>
      </c>
      <c r="C33" s="306">
        <f t="shared" si="1"/>
        <v>0</v>
      </c>
      <c r="D33" s="71">
        <f>C33*(1+0.07)^-($B33-'Global Assumptions'!$C$6)</f>
        <v>0</v>
      </c>
      <c r="E33" s="301">
        <f>IF($B33=$I$11,'D_EV Charging Costs'!$J$31,0)</f>
        <v>0</v>
      </c>
      <c r="F33" s="71">
        <f>E33*(1+0.07)^-($B33-'Global Assumptions'!$C$6)</f>
        <v>0</v>
      </c>
    </row>
    <row r="34" spans="1:9" ht="15.75" customHeight="1" x14ac:dyDescent="0.25">
      <c r="B34" s="106">
        <f t="shared" si="2"/>
        <v>2046</v>
      </c>
      <c r="C34" s="306">
        <f t="shared" si="1"/>
        <v>0</v>
      </c>
      <c r="D34" s="71">
        <f>C34*(1+0.07)^-($B34-'Global Assumptions'!$C$6)</f>
        <v>0</v>
      </c>
      <c r="E34" s="301">
        <f>IF($B34=$I$11,'D_EV Charging Costs'!$J$31,0)</f>
        <v>0</v>
      </c>
      <c r="F34" s="71">
        <f>E34*(1+0.07)^-($B34-'Global Assumptions'!$C$6)</f>
        <v>0</v>
      </c>
    </row>
    <row r="35" spans="1:9" ht="15.75" customHeight="1" x14ac:dyDescent="0.25">
      <c r="B35" s="106">
        <f t="shared" si="2"/>
        <v>2047</v>
      </c>
      <c r="C35" s="306">
        <f t="shared" si="1"/>
        <v>0</v>
      </c>
      <c r="D35" s="71">
        <f>C35*(1+0.07)^-($B35-'Global Assumptions'!$C$6)</f>
        <v>0</v>
      </c>
      <c r="E35" s="301">
        <f>IF($B35=$I$11,'D_EV Charging Costs'!$J$31,0)</f>
        <v>0</v>
      </c>
      <c r="F35" s="71">
        <f>E35*(1+0.07)^-($B35-'Global Assumptions'!$C$6)</f>
        <v>0</v>
      </c>
    </row>
    <row r="36" spans="1:9" ht="15.75" customHeight="1" x14ac:dyDescent="0.25">
      <c r="B36" s="106">
        <f t="shared" si="2"/>
        <v>2048</v>
      </c>
      <c r="C36" s="306">
        <f t="shared" si="1"/>
        <v>0</v>
      </c>
      <c r="D36" s="71">
        <f>C36*(1+0.07)^-($B36-'Global Assumptions'!$C$6)</f>
        <v>0</v>
      </c>
      <c r="E36" s="301">
        <f>IF($B36=$I$11,'D_EV Charging Costs'!$J$31,0)</f>
        <v>0</v>
      </c>
      <c r="F36" s="71">
        <f>E36*(1+0.07)^-($B36-'Global Assumptions'!$C$6)</f>
        <v>0</v>
      </c>
    </row>
    <row r="37" spans="1:9" ht="15.75" customHeight="1" x14ac:dyDescent="0.25">
      <c r="B37" s="106">
        <f t="shared" si="2"/>
        <v>2049</v>
      </c>
      <c r="C37" s="306">
        <f t="shared" si="1"/>
        <v>0</v>
      </c>
      <c r="D37" s="71">
        <f>C37*(1+0.07)^-($B37-'Global Assumptions'!$C$6)</f>
        <v>0</v>
      </c>
      <c r="E37" s="301">
        <f>IF($B37=$I$11,'D_EV Charging Costs'!$J$31,0)</f>
        <v>0</v>
      </c>
      <c r="F37" s="71">
        <f>E37*(1+0.07)^-($B37-'Global Assumptions'!$C$6)</f>
        <v>0</v>
      </c>
    </row>
    <row r="38" spans="1:9" ht="15.75" customHeight="1" x14ac:dyDescent="0.25">
      <c r="B38" s="106">
        <f t="shared" si="2"/>
        <v>2050</v>
      </c>
      <c r="C38" s="306">
        <f t="shared" si="1"/>
        <v>0</v>
      </c>
      <c r="D38" s="71">
        <f>C38*(1+0.07)^-($B38-'Global Assumptions'!$C$6)</f>
        <v>0</v>
      </c>
      <c r="E38" s="301">
        <f>IF($B38=$I$11,'D_EV Charging Costs'!$J$31,0)</f>
        <v>0</v>
      </c>
      <c r="F38" s="71">
        <f>E38*(1+0.07)^-($B38-'Global Assumptions'!$C$6)</f>
        <v>0</v>
      </c>
    </row>
    <row r="39" spans="1:9" ht="15.75" customHeight="1" x14ac:dyDescent="0.25">
      <c r="B39" s="106">
        <f t="shared" si="2"/>
        <v>2051</v>
      </c>
      <c r="C39" s="306">
        <f t="shared" si="1"/>
        <v>0</v>
      </c>
      <c r="D39" s="71">
        <f>C39*(1+0.07)^-($B39-'Global Assumptions'!$C$6)</f>
        <v>0</v>
      </c>
      <c r="E39" s="301">
        <f>IF($B39=$I$11,'D_EV Charging Costs'!$J$31,0)</f>
        <v>0</v>
      </c>
      <c r="F39" s="71">
        <f>E39*(1+0.07)^-($B39-'Global Assumptions'!$C$6)</f>
        <v>0</v>
      </c>
      <c r="G39" s="14"/>
    </row>
    <row r="40" spans="1:9" ht="15.75" customHeight="1" x14ac:dyDescent="0.25">
      <c r="B40" s="106">
        <f t="shared" si="2"/>
        <v>2052</v>
      </c>
      <c r="C40" s="306">
        <f t="shared" si="1"/>
        <v>0</v>
      </c>
      <c r="D40" s="71">
        <f>C40*(1+0.07)^-($B40-'Global Assumptions'!$C$6)</f>
        <v>0</v>
      </c>
      <c r="E40" s="301">
        <f>IF($B40=$I$11,'D_EV Charging Costs'!$J$31,0)</f>
        <v>0</v>
      </c>
      <c r="F40" s="71">
        <f>E40*(1+0.07)^-($B40-'Global Assumptions'!$C$6)</f>
        <v>0</v>
      </c>
    </row>
    <row r="41" spans="1:9" ht="15.75" customHeight="1" x14ac:dyDescent="0.25">
      <c r="B41" s="106">
        <f t="shared" si="2"/>
        <v>2053</v>
      </c>
      <c r="C41" s="306">
        <f t="shared" si="1"/>
        <v>0</v>
      </c>
      <c r="D41" s="71">
        <f>C41*(1+0.07)^-($B41-'Global Assumptions'!$C$6)</f>
        <v>0</v>
      </c>
      <c r="E41" s="301">
        <f>IF($B41=$I$11,'D_EV Charging Costs'!$J$31,0)</f>
        <v>0</v>
      </c>
      <c r="F41" s="71">
        <f>E41*(1+0.07)^-($B41-'Global Assumptions'!$C$6)</f>
        <v>0</v>
      </c>
    </row>
    <row r="42" spans="1:9" ht="15.75" customHeight="1" x14ac:dyDescent="0.25">
      <c r="B42" s="106">
        <f t="shared" si="2"/>
        <v>2054</v>
      </c>
      <c r="C42" s="306">
        <f t="shared" si="1"/>
        <v>0</v>
      </c>
      <c r="D42" s="71">
        <f>C42*(1+0.07)^-($B42-'Global Assumptions'!$C$6)</f>
        <v>0</v>
      </c>
      <c r="E42" s="301">
        <f>IF($B42=$I$11,'D_EV Charging Costs'!$J$31,0)</f>
        <v>0</v>
      </c>
      <c r="F42" s="71">
        <f>E42*(1+0.07)^-($B42-'Global Assumptions'!$C$6)</f>
        <v>0</v>
      </c>
    </row>
    <row r="43" spans="1:9" ht="15.75" customHeight="1" x14ac:dyDescent="0.25">
      <c r="A43" s="14"/>
      <c r="B43" s="106">
        <f t="shared" si="2"/>
        <v>2055</v>
      </c>
      <c r="C43" s="306">
        <f t="shared" si="1"/>
        <v>0</v>
      </c>
      <c r="D43" s="71">
        <f>C43*(1+0.07)^-($B43-'Global Assumptions'!$C$6)</f>
        <v>0</v>
      </c>
      <c r="E43" s="301">
        <f>IF($B43=$I$11,'D_EV Charging Costs'!$J$31,0)</f>
        <v>0</v>
      </c>
      <c r="F43" s="71">
        <f>E43*(1+0.07)^-($B43-'Global Assumptions'!$C$6)</f>
        <v>0</v>
      </c>
    </row>
    <row r="44" spans="1:9" ht="15.75" customHeight="1" thickBot="1" x14ac:dyDescent="0.3">
      <c r="B44" s="107">
        <f t="shared" si="2"/>
        <v>2056</v>
      </c>
      <c r="C44" s="307">
        <f t="shared" si="1"/>
        <v>0</v>
      </c>
      <c r="D44" s="72">
        <f>C44*(1+0.07)^-($B44-'Global Assumptions'!$C$6)</f>
        <v>0</v>
      </c>
      <c r="E44" s="311">
        <f>IF($B44=$I$11,'D_EV Charging Costs'!$J$31,0)</f>
        <v>0</v>
      </c>
      <c r="F44" s="72">
        <f>E44*(1+0.07)^-($B44-'Global Assumptions'!$C$6)</f>
        <v>0</v>
      </c>
    </row>
    <row r="45" spans="1:9" ht="15.75" customHeight="1" thickBot="1" x14ac:dyDescent="0.3">
      <c r="C45" s="126" t="s">
        <v>63</v>
      </c>
      <c r="D45" s="92">
        <f>SUM(D7:D44)</f>
        <v>34990.880592218666</v>
      </c>
      <c r="E45" s="126" t="s">
        <v>64</v>
      </c>
      <c r="F45" s="92">
        <f>SUM(F7:F44)</f>
        <v>0</v>
      </c>
    </row>
    <row r="46" spans="1:9" ht="15" customHeight="1" x14ac:dyDescent="0.25"/>
    <row r="48" spans="1:9" ht="15.75" thickBot="1" x14ac:dyDescent="0.3">
      <c r="B48" s="15" t="s">
        <v>3</v>
      </c>
      <c r="C48" s="14"/>
      <c r="D48" s="14"/>
      <c r="E48" s="14"/>
      <c r="F48" s="14"/>
      <c r="I48" s="151" t="s">
        <v>62</v>
      </c>
    </row>
    <row r="49" spans="1:10" ht="15.75" thickBot="1" x14ac:dyDescent="0.3">
      <c r="A49" s="96" t="s">
        <v>24</v>
      </c>
      <c r="B49" s="367" t="s">
        <v>326</v>
      </c>
      <c r="C49" s="367"/>
      <c r="D49" s="367"/>
      <c r="E49" s="367"/>
      <c r="F49" s="367"/>
      <c r="I49" s="11"/>
      <c r="J49" s="161" t="s">
        <v>39</v>
      </c>
    </row>
    <row r="50" spans="1:10" x14ac:dyDescent="0.25">
      <c r="B50" s="367"/>
      <c r="C50" s="367"/>
      <c r="D50" s="367"/>
      <c r="E50" s="367"/>
      <c r="F50" s="367"/>
      <c r="I50" s="12" t="s">
        <v>18</v>
      </c>
      <c r="J50" s="98">
        <f>'D_EV Charging Station_Benefits'!E37+'D_EV Charging Station_ AQ Benef'!P25+'D_EV Charging Costs'!F45</f>
        <v>498060.29961108021</v>
      </c>
    </row>
    <row r="51" spans="1:10" ht="15" customHeight="1" thickBot="1" x14ac:dyDescent="0.3">
      <c r="B51" s="367"/>
      <c r="C51" s="367"/>
      <c r="D51" s="367"/>
      <c r="E51" s="367"/>
      <c r="F51" s="367"/>
      <c r="I51" s="13" t="s">
        <v>19</v>
      </c>
      <c r="J51" s="99">
        <f>D45</f>
        <v>34990.880592218666</v>
      </c>
    </row>
    <row r="52" spans="1:10" ht="15.75" thickTop="1" x14ac:dyDescent="0.25">
      <c r="B52" s="367"/>
      <c r="C52" s="367"/>
      <c r="D52" s="367"/>
      <c r="E52" s="367"/>
      <c r="F52" s="367"/>
      <c r="I52" s="87" t="s">
        <v>20</v>
      </c>
      <c r="J52" s="88">
        <f>+J50/J51</f>
        <v>14.23400300825352</v>
      </c>
    </row>
    <row r="53" spans="1:10" ht="15.75" thickBot="1" x14ac:dyDescent="0.3">
      <c r="B53" s="367"/>
      <c r="C53" s="367"/>
      <c r="D53" s="367"/>
      <c r="E53" s="367"/>
      <c r="F53" s="367"/>
      <c r="I53" s="89" t="s">
        <v>50</v>
      </c>
      <c r="J53" s="90">
        <f>J50-J51</f>
        <v>463069.41901886155</v>
      </c>
    </row>
    <row r="54" spans="1:10" x14ac:dyDescent="0.25">
      <c r="A54" s="96"/>
      <c r="B54" s="215"/>
      <c r="C54" s="215"/>
      <c r="D54" s="215"/>
      <c r="E54" s="215"/>
      <c r="F54" s="215"/>
    </row>
    <row r="55" spans="1:10" ht="15" customHeight="1" x14ac:dyDescent="0.25">
      <c r="A55" s="96" t="s">
        <v>23</v>
      </c>
      <c r="B55" s="367" t="s">
        <v>52</v>
      </c>
      <c r="C55" s="367"/>
      <c r="D55" s="367"/>
      <c r="E55" s="367"/>
      <c r="F55" s="367"/>
    </row>
    <row r="56" spans="1:10" x14ac:dyDescent="0.25">
      <c r="A56" s="50"/>
      <c r="B56" s="367"/>
      <c r="C56" s="367"/>
      <c r="D56" s="367"/>
      <c r="E56" s="367"/>
      <c r="F56" s="367"/>
    </row>
    <row r="57" spans="1:10" x14ac:dyDescent="0.25">
      <c r="A57" s="50"/>
      <c r="B57" s="367"/>
      <c r="C57" s="367"/>
      <c r="D57" s="367"/>
      <c r="E57" s="367"/>
      <c r="F57" s="367"/>
    </row>
    <row r="58" spans="1:10" x14ac:dyDescent="0.25">
      <c r="A58" s="96"/>
      <c r="B58" s="367"/>
      <c r="C58" s="367"/>
      <c r="D58" s="367"/>
      <c r="E58" s="367"/>
      <c r="F58" s="367"/>
    </row>
    <row r="59" spans="1:10" x14ac:dyDescent="0.25">
      <c r="B59" s="367"/>
      <c r="C59" s="367"/>
      <c r="D59" s="367"/>
      <c r="E59" s="367"/>
      <c r="F59" s="367"/>
    </row>
    <row r="60" spans="1:10" x14ac:dyDescent="0.25">
      <c r="B60" s="367"/>
      <c r="C60" s="367"/>
      <c r="D60" s="367"/>
      <c r="E60" s="367"/>
      <c r="F60" s="367"/>
    </row>
    <row r="61" spans="1:10" ht="15" customHeight="1" x14ac:dyDescent="0.25">
      <c r="A61" s="152"/>
      <c r="B61" s="367"/>
      <c r="C61" s="367"/>
      <c r="D61" s="367"/>
      <c r="E61" s="367"/>
      <c r="F61" s="367"/>
    </row>
    <row r="62" spans="1:10" x14ac:dyDescent="0.25">
      <c r="A62" s="50"/>
      <c r="B62" s="367"/>
      <c r="C62" s="367"/>
      <c r="D62" s="367"/>
      <c r="E62" s="367"/>
      <c r="F62" s="367"/>
    </row>
    <row r="63" spans="1:10" x14ac:dyDescent="0.25">
      <c r="B63" s="367"/>
      <c r="C63" s="367"/>
      <c r="D63" s="367"/>
      <c r="E63" s="367"/>
      <c r="F63" s="367"/>
    </row>
  </sheetData>
  <mergeCells count="15">
    <mergeCell ref="H31:I31"/>
    <mergeCell ref="B49:F53"/>
    <mergeCell ref="B55:F63"/>
    <mergeCell ref="I15:I17"/>
    <mergeCell ref="J15:J17"/>
    <mergeCell ref="H21:I21"/>
    <mergeCell ref="H25:H27"/>
    <mergeCell ref="I25:I27"/>
    <mergeCell ref="J25:J27"/>
    <mergeCell ref="H15:H17"/>
    <mergeCell ref="B5:B6"/>
    <mergeCell ref="C5:C6"/>
    <mergeCell ref="D5:D6"/>
    <mergeCell ref="E5:E6"/>
    <mergeCell ref="F5:F6"/>
  </mergeCells>
  <pageMargins left="0.25" right="0.25" top="0.75" bottom="0.75" header="0.3" footer="0.3"/>
  <pageSetup paperSize="119"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3CAE-D2E2-42D9-8848-A8CD1C216DC0}">
  <sheetPr>
    <tabColor rgb="FF00B050"/>
  </sheetPr>
  <dimension ref="A1:I37"/>
  <sheetViews>
    <sheetView view="pageBreakPreview" zoomScale="85" zoomScaleNormal="85" zoomScaleSheetLayoutView="85" workbookViewId="0">
      <selection activeCell="F11" sqref="F11"/>
    </sheetView>
  </sheetViews>
  <sheetFormatPr defaultRowHeight="15" x14ac:dyDescent="0.25"/>
  <cols>
    <col min="1" max="1" width="9.140625" style="339"/>
    <col min="2" max="2" width="11.85546875" style="211" customWidth="1"/>
    <col min="3" max="3" width="17" style="211" bestFit="1" customWidth="1"/>
    <col min="4" max="4" width="18.140625" style="211" customWidth="1"/>
    <col min="5" max="5" width="32" style="211" customWidth="1"/>
    <col min="6" max="6" width="28" style="211" customWidth="1"/>
    <col min="7" max="7" width="9.140625" style="211"/>
    <col min="8" max="8" width="17.5703125" style="339" bestFit="1" customWidth="1"/>
    <col min="9" max="16384" width="9.140625" style="211"/>
  </cols>
  <sheetData>
    <row r="1" spans="1:9" s="339" customFormat="1" x14ac:dyDescent="0.25"/>
    <row r="2" spans="1:9" x14ac:dyDescent="0.25">
      <c r="B2" s="151" t="s">
        <v>369</v>
      </c>
    </row>
    <row r="3" spans="1:9" ht="18.75" customHeight="1" x14ac:dyDescent="0.25"/>
    <row r="4" spans="1:9" ht="17.25" x14ac:dyDescent="0.25">
      <c r="B4" s="338" t="s">
        <v>350</v>
      </c>
    </row>
    <row r="5" spans="1:9" x14ac:dyDescent="0.25">
      <c r="B5" s="254" t="s">
        <v>352</v>
      </c>
      <c r="C5" s="432">
        <v>802</v>
      </c>
      <c r="D5" s="433"/>
      <c r="E5" s="434"/>
      <c r="F5" s="254" t="s">
        <v>242</v>
      </c>
      <c r="G5" s="160">
        <v>0.1</v>
      </c>
    </row>
    <row r="6" spans="1:9" x14ac:dyDescent="0.25">
      <c r="B6" s="363" t="s">
        <v>351</v>
      </c>
      <c r="C6" s="363"/>
      <c r="D6" s="363"/>
      <c r="E6" s="363"/>
      <c r="F6" s="254" t="s">
        <v>243</v>
      </c>
      <c r="G6" s="160">
        <v>25</v>
      </c>
    </row>
    <row r="7" spans="1:9" x14ac:dyDescent="0.25">
      <c r="B7" s="364" t="s">
        <v>308</v>
      </c>
      <c r="C7" s="363"/>
      <c r="D7" s="363"/>
      <c r="E7" s="363"/>
      <c r="F7" s="254" t="s">
        <v>244</v>
      </c>
      <c r="G7" s="160">
        <v>500</v>
      </c>
      <c r="I7" s="335"/>
    </row>
    <row r="8" spans="1:9" s="335" customFormat="1" x14ac:dyDescent="0.25">
      <c r="A8" s="339"/>
      <c r="C8" s="348"/>
      <c r="D8" s="348"/>
      <c r="H8" s="339"/>
    </row>
    <row r="9" spans="1:9" ht="15.75" thickBot="1" x14ac:dyDescent="0.3">
      <c r="C9" s="283"/>
      <c r="E9" s="284"/>
    </row>
    <row r="10" spans="1:9" x14ac:dyDescent="0.25">
      <c r="B10" s="285" t="s">
        <v>46</v>
      </c>
      <c r="C10" s="286" t="s">
        <v>263</v>
      </c>
      <c r="D10" s="287" t="s">
        <v>241</v>
      </c>
      <c r="E10" s="288" t="s">
        <v>245</v>
      </c>
    </row>
    <row r="11" spans="1:9" x14ac:dyDescent="0.25">
      <c r="B11" s="347">
        <f>'E_Fiber Optic Costs'!I10</f>
        <v>2023</v>
      </c>
      <c r="C11" s="131">
        <f>C5</f>
        <v>802</v>
      </c>
      <c r="D11" s="289">
        <f t="shared" ref="D11:D30" si="0">C11*($G$7-$G$6)*$G$5</f>
        <v>38095</v>
      </c>
      <c r="E11" s="290">
        <f>ROUND(D11*(1.07^-(B11-'Global Assumptions'!$C$6)),0)</f>
        <v>29062</v>
      </c>
    </row>
    <row r="12" spans="1:9" x14ac:dyDescent="0.25">
      <c r="B12" s="347">
        <f>B11+1</f>
        <v>2024</v>
      </c>
      <c r="C12" s="131">
        <f t="shared" ref="C12:C30" si="1">C11</f>
        <v>802</v>
      </c>
      <c r="D12" s="289">
        <f t="shared" si="0"/>
        <v>38095</v>
      </c>
      <c r="E12" s="290">
        <f>ROUND(D12*(1.07^-(B12-'Global Assumptions'!$C$6)),0)</f>
        <v>27161</v>
      </c>
    </row>
    <row r="13" spans="1:9" x14ac:dyDescent="0.25">
      <c r="B13" s="347">
        <f t="shared" ref="B13:B30" si="2">B12+1</f>
        <v>2025</v>
      </c>
      <c r="C13" s="131">
        <f t="shared" si="1"/>
        <v>802</v>
      </c>
      <c r="D13" s="289">
        <f t="shared" si="0"/>
        <v>38095</v>
      </c>
      <c r="E13" s="290">
        <f>ROUND(D13*(1.07^-(B13-'Global Assumptions'!$C$6)),0)</f>
        <v>25384</v>
      </c>
    </row>
    <row r="14" spans="1:9" x14ac:dyDescent="0.25">
      <c r="B14" s="347">
        <f t="shared" si="2"/>
        <v>2026</v>
      </c>
      <c r="C14" s="131">
        <f t="shared" si="1"/>
        <v>802</v>
      </c>
      <c r="D14" s="289">
        <f t="shared" si="0"/>
        <v>38095</v>
      </c>
      <c r="E14" s="290">
        <f>ROUND(D14*(1.07^-(B14-'Global Assumptions'!$C$6)),0)</f>
        <v>23724</v>
      </c>
    </row>
    <row r="15" spans="1:9" x14ac:dyDescent="0.25">
      <c r="B15" s="347">
        <f t="shared" si="2"/>
        <v>2027</v>
      </c>
      <c r="C15" s="131">
        <f t="shared" si="1"/>
        <v>802</v>
      </c>
      <c r="D15" s="289">
        <f t="shared" si="0"/>
        <v>38095</v>
      </c>
      <c r="E15" s="290">
        <f>ROUND(D15*(1.07^-(B15-'Global Assumptions'!$C$6)),0)</f>
        <v>22172</v>
      </c>
    </row>
    <row r="16" spans="1:9" x14ac:dyDescent="0.25">
      <c r="B16" s="347">
        <f t="shared" si="2"/>
        <v>2028</v>
      </c>
      <c r="C16" s="131">
        <f t="shared" si="1"/>
        <v>802</v>
      </c>
      <c r="D16" s="289">
        <f t="shared" si="0"/>
        <v>38095</v>
      </c>
      <c r="E16" s="290">
        <f>ROUND(D16*(1.07^-(B16-'Global Assumptions'!$C$6)),0)</f>
        <v>20721</v>
      </c>
    </row>
    <row r="17" spans="2:5" x14ac:dyDescent="0.25">
      <c r="B17" s="347">
        <f t="shared" si="2"/>
        <v>2029</v>
      </c>
      <c r="C17" s="131">
        <f t="shared" si="1"/>
        <v>802</v>
      </c>
      <c r="D17" s="289">
        <f t="shared" si="0"/>
        <v>38095</v>
      </c>
      <c r="E17" s="290">
        <f>ROUND(D17*(1.07^-(B17-'Global Assumptions'!$C$6)),0)</f>
        <v>19366</v>
      </c>
    </row>
    <row r="18" spans="2:5" x14ac:dyDescent="0.25">
      <c r="B18" s="347">
        <f t="shared" si="2"/>
        <v>2030</v>
      </c>
      <c r="C18" s="131">
        <f t="shared" si="1"/>
        <v>802</v>
      </c>
      <c r="D18" s="289">
        <f t="shared" si="0"/>
        <v>38095</v>
      </c>
      <c r="E18" s="290">
        <f>ROUND(D18*(1.07^-(B18-'Global Assumptions'!$C$6)),0)</f>
        <v>18099</v>
      </c>
    </row>
    <row r="19" spans="2:5" x14ac:dyDescent="0.25">
      <c r="B19" s="347">
        <f t="shared" si="2"/>
        <v>2031</v>
      </c>
      <c r="C19" s="131">
        <f t="shared" si="1"/>
        <v>802</v>
      </c>
      <c r="D19" s="289">
        <f t="shared" si="0"/>
        <v>38095</v>
      </c>
      <c r="E19" s="290">
        <f>ROUND(D19*(1.07^-(B19-'Global Assumptions'!$C$6)),0)</f>
        <v>16915</v>
      </c>
    </row>
    <row r="20" spans="2:5" x14ac:dyDescent="0.25">
      <c r="B20" s="347">
        <f t="shared" si="2"/>
        <v>2032</v>
      </c>
      <c r="C20" s="131">
        <f t="shared" si="1"/>
        <v>802</v>
      </c>
      <c r="D20" s="289">
        <f t="shared" si="0"/>
        <v>38095</v>
      </c>
      <c r="E20" s="290">
        <f>ROUND(D20*(1.07^-(B20-'Global Assumptions'!$C$6)),0)</f>
        <v>15808</v>
      </c>
    </row>
    <row r="21" spans="2:5" x14ac:dyDescent="0.25">
      <c r="B21" s="347">
        <f t="shared" si="2"/>
        <v>2033</v>
      </c>
      <c r="C21" s="131">
        <f t="shared" si="1"/>
        <v>802</v>
      </c>
      <c r="D21" s="289">
        <f t="shared" si="0"/>
        <v>38095</v>
      </c>
      <c r="E21" s="290">
        <f>ROUND(D21*(1.07^-(B21-'Global Assumptions'!$C$6)),0)</f>
        <v>14774</v>
      </c>
    </row>
    <row r="22" spans="2:5" x14ac:dyDescent="0.25">
      <c r="B22" s="347">
        <f t="shared" si="2"/>
        <v>2034</v>
      </c>
      <c r="C22" s="131">
        <f t="shared" si="1"/>
        <v>802</v>
      </c>
      <c r="D22" s="289">
        <f t="shared" si="0"/>
        <v>38095</v>
      </c>
      <c r="E22" s="290">
        <f>ROUND(D22*(1.07^-(B22-'Global Assumptions'!$C$6)),0)</f>
        <v>13807</v>
      </c>
    </row>
    <row r="23" spans="2:5" x14ac:dyDescent="0.25">
      <c r="B23" s="347">
        <f t="shared" si="2"/>
        <v>2035</v>
      </c>
      <c r="C23" s="131">
        <f t="shared" si="1"/>
        <v>802</v>
      </c>
      <c r="D23" s="289">
        <f t="shared" si="0"/>
        <v>38095</v>
      </c>
      <c r="E23" s="290">
        <f>ROUND(D23*(1.07^-(B23-'Global Assumptions'!$C$6)),0)</f>
        <v>12904</v>
      </c>
    </row>
    <row r="24" spans="2:5" x14ac:dyDescent="0.25">
      <c r="B24" s="347">
        <f t="shared" si="2"/>
        <v>2036</v>
      </c>
      <c r="C24" s="131">
        <f t="shared" si="1"/>
        <v>802</v>
      </c>
      <c r="D24" s="289">
        <f t="shared" si="0"/>
        <v>38095</v>
      </c>
      <c r="E24" s="290">
        <f>ROUND(D24*(1.07^-(B24-'Global Assumptions'!$C$6)),0)</f>
        <v>12060</v>
      </c>
    </row>
    <row r="25" spans="2:5" x14ac:dyDescent="0.25">
      <c r="B25" s="347">
        <f t="shared" si="2"/>
        <v>2037</v>
      </c>
      <c r="C25" s="131">
        <f t="shared" si="1"/>
        <v>802</v>
      </c>
      <c r="D25" s="289">
        <f t="shared" si="0"/>
        <v>38095</v>
      </c>
      <c r="E25" s="290">
        <f>ROUND(D25*(1.07^-(B25-'Global Assumptions'!$C$6)),0)</f>
        <v>11271</v>
      </c>
    </row>
    <row r="26" spans="2:5" x14ac:dyDescent="0.25">
      <c r="B26" s="347">
        <f t="shared" si="2"/>
        <v>2038</v>
      </c>
      <c r="C26" s="131">
        <f t="shared" si="1"/>
        <v>802</v>
      </c>
      <c r="D26" s="289">
        <f t="shared" si="0"/>
        <v>38095</v>
      </c>
      <c r="E26" s="290">
        <f>ROUND(D26*(1.07^-(B26-'Global Assumptions'!$C$6)),0)</f>
        <v>10534</v>
      </c>
    </row>
    <row r="27" spans="2:5" x14ac:dyDescent="0.25">
      <c r="B27" s="347">
        <f t="shared" si="2"/>
        <v>2039</v>
      </c>
      <c r="C27" s="131">
        <f t="shared" si="1"/>
        <v>802</v>
      </c>
      <c r="D27" s="289">
        <f t="shared" si="0"/>
        <v>38095</v>
      </c>
      <c r="E27" s="290">
        <f>ROUND(D27*(1.07^-(B27-'Global Assumptions'!$C$6)),0)</f>
        <v>9844</v>
      </c>
    </row>
    <row r="28" spans="2:5" x14ac:dyDescent="0.25">
      <c r="B28" s="347">
        <f t="shared" si="2"/>
        <v>2040</v>
      </c>
      <c r="C28" s="131">
        <f t="shared" si="1"/>
        <v>802</v>
      </c>
      <c r="D28" s="289">
        <f t="shared" si="0"/>
        <v>38095</v>
      </c>
      <c r="E28" s="290">
        <f>ROUND(D28*(1.07^-(B28-'Global Assumptions'!$C$6)),0)</f>
        <v>9200</v>
      </c>
    </row>
    <row r="29" spans="2:5" x14ac:dyDescent="0.25">
      <c r="B29" s="347">
        <f t="shared" si="2"/>
        <v>2041</v>
      </c>
      <c r="C29" s="131">
        <f t="shared" si="1"/>
        <v>802</v>
      </c>
      <c r="D29" s="289">
        <f t="shared" si="0"/>
        <v>38095</v>
      </c>
      <c r="E29" s="290">
        <f>ROUND(D29*(1.07^-(B29-'Global Assumptions'!$C$6)),0)</f>
        <v>8599</v>
      </c>
    </row>
    <row r="30" spans="2:5" ht="15.75" thickBot="1" x14ac:dyDescent="0.3">
      <c r="B30" s="347">
        <f t="shared" si="2"/>
        <v>2042</v>
      </c>
      <c r="C30" s="131">
        <f t="shared" si="1"/>
        <v>802</v>
      </c>
      <c r="D30" s="289">
        <f t="shared" si="0"/>
        <v>38095</v>
      </c>
      <c r="E30" s="290">
        <f>ROUND(D30*(1.07^-(B30-'Global Assumptions'!$C$6)),0)</f>
        <v>8036</v>
      </c>
    </row>
    <row r="31" spans="2:5" ht="15.75" thickBot="1" x14ac:dyDescent="0.3">
      <c r="B31" s="147" t="s">
        <v>246</v>
      </c>
      <c r="C31" s="291">
        <f>SUM(C12:C30)</f>
        <v>15238</v>
      </c>
      <c r="D31" s="292">
        <f>SUM(D12:D30)</f>
        <v>723805</v>
      </c>
      <c r="E31" s="292">
        <f>SUM(E11:E30)</f>
        <v>329441</v>
      </c>
    </row>
    <row r="34" spans="1:6" x14ac:dyDescent="0.25">
      <c r="A34" s="211"/>
      <c r="B34" s="15" t="s">
        <v>3</v>
      </c>
    </row>
    <row r="35" spans="1:6" ht="15" customHeight="1" x14ac:dyDescent="0.25">
      <c r="A35" s="152" t="s">
        <v>24</v>
      </c>
      <c r="B35" s="367" t="s">
        <v>353</v>
      </c>
      <c r="C35" s="367"/>
      <c r="D35" s="367"/>
      <c r="E35" s="367"/>
      <c r="F35" s="367"/>
    </row>
    <row r="36" spans="1:6" x14ac:dyDescent="0.25">
      <c r="B36" s="19"/>
      <c r="C36" s="19"/>
      <c r="D36" s="19"/>
      <c r="E36" s="19"/>
      <c r="F36" s="19"/>
    </row>
    <row r="37" spans="1:6" x14ac:dyDescent="0.25">
      <c r="B37" s="365"/>
      <c r="C37" s="365"/>
      <c r="D37" s="365"/>
      <c r="E37" s="365"/>
      <c r="F37" s="365"/>
    </row>
  </sheetData>
  <mergeCells count="2">
    <mergeCell ref="C5:E5"/>
    <mergeCell ref="B35:F35"/>
  </mergeCells>
  <hyperlinks>
    <hyperlink ref="B7" r:id="rId1" xr:uid="{3617DFCB-8AB7-4477-90DD-97BF542F13BA}"/>
  </hyperlinks>
  <pageMargins left="0.7" right="0.7" top="0.75" bottom="0.75" header="0.3" footer="0.3"/>
  <pageSetup scale="73"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54049-9D4E-4675-B8A6-0AFF896FE27E}">
  <sheetPr>
    <tabColor rgb="FFC00000"/>
    <pageSetUpPr fitToPage="1"/>
  </sheetPr>
  <dimension ref="A2:M63"/>
  <sheetViews>
    <sheetView view="pageBreakPreview" zoomScale="85" zoomScaleNormal="85" zoomScaleSheetLayoutView="85" workbookViewId="0">
      <selection activeCell="E5" sqref="E5:E6"/>
    </sheetView>
  </sheetViews>
  <sheetFormatPr defaultRowHeight="15" x14ac:dyDescent="0.25"/>
  <cols>
    <col min="1" max="1" width="5.140625" style="220" customWidth="1"/>
    <col min="2" max="7" width="15.7109375" style="220" customWidth="1"/>
    <col min="8" max="8" width="27.85546875" style="220" customWidth="1"/>
    <col min="9" max="10" width="21.140625" style="220" customWidth="1"/>
    <col min="11" max="11" width="16" style="220" customWidth="1"/>
    <col min="12" max="12" width="20.5703125" style="220" customWidth="1"/>
    <col min="13" max="13" width="16" style="220" customWidth="1"/>
    <col min="14" max="14" width="13.140625" style="220" customWidth="1"/>
    <col min="15" max="16384" width="9.140625" style="220"/>
  </cols>
  <sheetData>
    <row r="2" spans="2:13" x14ac:dyDescent="0.25">
      <c r="B2" s="151" t="s">
        <v>51</v>
      </c>
    </row>
    <row r="3" spans="2:13" ht="15.75" customHeight="1" x14ac:dyDescent="0.25">
      <c r="C3" s="123"/>
      <c r="D3" s="123"/>
      <c r="E3" s="123"/>
      <c r="F3" s="123"/>
    </row>
    <row r="4" spans="2:13" ht="15.75" thickBot="1" x14ac:dyDescent="0.3">
      <c r="C4" s="108"/>
      <c r="D4" s="108"/>
      <c r="E4" s="108"/>
      <c r="F4" s="108"/>
    </row>
    <row r="5" spans="2:13" ht="15.75" customHeight="1" x14ac:dyDescent="0.25">
      <c r="B5" s="380" t="s">
        <v>0</v>
      </c>
      <c r="C5" s="382" t="s">
        <v>26</v>
      </c>
      <c r="D5" s="384" t="s">
        <v>1</v>
      </c>
      <c r="E5" s="386" t="s">
        <v>47</v>
      </c>
      <c r="F5" s="370" t="s">
        <v>48</v>
      </c>
      <c r="H5" s="151" t="s">
        <v>32</v>
      </c>
    </row>
    <row r="6" spans="2:13" ht="15.75" customHeight="1" thickBot="1" x14ac:dyDescent="0.3">
      <c r="B6" s="381"/>
      <c r="C6" s="383"/>
      <c r="D6" s="385"/>
      <c r="E6" s="387"/>
      <c r="F6" s="371"/>
      <c r="I6" s="139" t="s">
        <v>54</v>
      </c>
      <c r="J6" s="104"/>
      <c r="M6" s="103"/>
    </row>
    <row r="7" spans="2:13" ht="15.75" customHeight="1" x14ac:dyDescent="0.25">
      <c r="B7" s="302">
        <f>'Global Assumptions'!$C$6</f>
        <v>2019</v>
      </c>
      <c r="C7" s="308">
        <f t="shared" ref="C7:C44" si="0">IF(AND($B7&gt;=$I$7,$B7&lt;$I$7+$I$8),($J$21)/$I$8,0)</f>
        <v>0</v>
      </c>
      <c r="D7" s="303">
        <f>C7*(1+0.07)^-($B7-'Global Assumptions'!$C$6)</f>
        <v>0</v>
      </c>
      <c r="E7" s="309">
        <f>IF($B7=$I$11,'E_Fiber Optic Costs'!$J$31,0)</f>
        <v>0</v>
      </c>
      <c r="F7" s="303">
        <f>E7*(1+0.07)^-($B7-'Global Assumptions'!$C$6)</f>
        <v>0</v>
      </c>
      <c r="H7" s="153" t="s">
        <v>33</v>
      </c>
      <c r="I7" s="95">
        <v>2022</v>
      </c>
      <c r="J7" s="9"/>
      <c r="M7" s="103"/>
    </row>
    <row r="8" spans="2:13" ht="15.75" customHeight="1" x14ac:dyDescent="0.25">
      <c r="B8" s="106">
        <f>B7+1</f>
        <v>2020</v>
      </c>
      <c r="C8" s="304">
        <f t="shared" si="0"/>
        <v>0</v>
      </c>
      <c r="D8" s="305">
        <f>C8*(1+0.07)^-($B8-'Global Assumptions'!$C$6)</f>
        <v>0</v>
      </c>
      <c r="E8" s="310">
        <f>IF($B8=$I$11,'E_Fiber Optic Costs'!$J$31,0)</f>
        <v>0</v>
      </c>
      <c r="F8" s="305">
        <f>E8*(1+0.07)^-($B8-'Global Assumptions'!$C$6)</f>
        <v>0</v>
      </c>
      <c r="H8" s="153" t="s">
        <v>31</v>
      </c>
      <c r="I8" s="95">
        <v>1</v>
      </c>
      <c r="J8" s="105"/>
      <c r="M8" s="103"/>
    </row>
    <row r="9" spans="2:13" ht="15.75" customHeight="1" x14ac:dyDescent="0.25">
      <c r="B9" s="106">
        <f t="shared" ref="B9:B44" si="1">B8+1</f>
        <v>2021</v>
      </c>
      <c r="C9" s="306">
        <f t="shared" si="0"/>
        <v>0</v>
      </c>
      <c r="D9" s="71">
        <f>C9*(1+0.07)^-($B9-'Global Assumptions'!$C$6)</f>
        <v>0</v>
      </c>
      <c r="E9" s="301">
        <f>IF($B9=$I$11,'E_Fiber Optic Costs'!$J$31,0)</f>
        <v>0</v>
      </c>
      <c r="F9" s="71">
        <f>E9*(1+0.07)^-($B9-'Global Assumptions'!$C$6)</f>
        <v>0</v>
      </c>
      <c r="H9" s="64" t="s">
        <v>59</v>
      </c>
      <c r="I9" s="65">
        <v>20</v>
      </c>
      <c r="J9" s="105"/>
      <c r="M9" s="103"/>
    </row>
    <row r="10" spans="2:13" ht="15.75" customHeight="1" x14ac:dyDescent="0.25">
      <c r="B10" s="106">
        <f t="shared" si="1"/>
        <v>2022</v>
      </c>
      <c r="C10" s="306">
        <f t="shared" si="0"/>
        <v>250000</v>
      </c>
      <c r="D10" s="71">
        <f>C10*(1+0.07)^-($B10-'Global Assumptions'!$C$6)</f>
        <v>204074.46922271297</v>
      </c>
      <c r="E10" s="301">
        <f>IF($B10=$I$11,'E_Fiber Optic Costs'!$J$31,0)</f>
        <v>0</v>
      </c>
      <c r="F10" s="71">
        <f>E10*(1+0.07)^-($B10-'Global Assumptions'!$C$6)</f>
        <v>0</v>
      </c>
      <c r="H10" s="64" t="s">
        <v>53</v>
      </c>
      <c r="I10" s="65">
        <f>I7+I8</f>
        <v>2023</v>
      </c>
      <c r="M10" s="103"/>
    </row>
    <row r="11" spans="2:13" ht="15.75" customHeight="1" x14ac:dyDescent="0.25">
      <c r="B11" s="106">
        <f t="shared" si="1"/>
        <v>2023</v>
      </c>
      <c r="C11" s="306">
        <f t="shared" si="0"/>
        <v>0</v>
      </c>
      <c r="D11" s="71">
        <f>C11*(1+0.07)^-($B11-'Global Assumptions'!$C$6)</f>
        <v>0</v>
      </c>
      <c r="E11" s="301">
        <f>IF($B11=$I$11,'E_Fiber Optic Costs'!$J$31,0)</f>
        <v>0</v>
      </c>
      <c r="F11" s="71">
        <f>E11*(1+0.07)^-($B11-'Global Assumptions'!$C$6)</f>
        <v>0</v>
      </c>
      <c r="H11" s="64" t="s">
        <v>43</v>
      </c>
      <c r="I11" s="65">
        <f>I10+I9-1</f>
        <v>2042</v>
      </c>
      <c r="M11" s="103"/>
    </row>
    <row r="12" spans="2:13" ht="15.75" customHeight="1" x14ac:dyDescent="0.25">
      <c r="B12" s="106">
        <f t="shared" si="1"/>
        <v>2024</v>
      </c>
      <c r="C12" s="306">
        <f t="shared" si="0"/>
        <v>0</v>
      </c>
      <c r="D12" s="71">
        <f>C12*(1+0.07)^-($B12-'Global Assumptions'!$C$6)</f>
        <v>0</v>
      </c>
      <c r="E12" s="301">
        <f>IF($B12=$I$11,'E_Fiber Optic Costs'!$J$31,0)</f>
        <v>0</v>
      </c>
      <c r="F12" s="71">
        <f>E12*(1+0.07)^-($B12-'Global Assumptions'!$C$6)</f>
        <v>0</v>
      </c>
      <c r="H12" s="64" t="s">
        <v>75</v>
      </c>
      <c r="I12" s="65" t="s">
        <v>76</v>
      </c>
      <c r="M12" s="103"/>
    </row>
    <row r="13" spans="2:13" ht="15.75" customHeight="1" x14ac:dyDescent="0.25">
      <c r="B13" s="106">
        <f t="shared" si="1"/>
        <v>2025</v>
      </c>
      <c r="C13" s="306">
        <f t="shared" si="0"/>
        <v>0</v>
      </c>
      <c r="D13" s="71">
        <f>C13*(1+0.07)^-($B13-'Global Assumptions'!$C$6)</f>
        <v>0</v>
      </c>
      <c r="E13" s="301">
        <f>IF($B13=$I$11,'E_Fiber Optic Costs'!$J$31,0)</f>
        <v>0</v>
      </c>
      <c r="F13" s="71">
        <f>E13*(1+0.07)^-($B13-'Global Assumptions'!$C$6)</f>
        <v>0</v>
      </c>
      <c r="H13" s="129"/>
      <c r="I13" s="130"/>
      <c r="M13" s="103"/>
    </row>
    <row r="14" spans="2:13" ht="15.75" customHeight="1" x14ac:dyDescent="0.25">
      <c r="B14" s="106">
        <f t="shared" si="1"/>
        <v>2026</v>
      </c>
      <c r="C14" s="306">
        <f t="shared" si="0"/>
        <v>0</v>
      </c>
      <c r="D14" s="71">
        <f>C14*(1+0.07)^-($B14-'Global Assumptions'!$C$6)</f>
        <v>0</v>
      </c>
      <c r="E14" s="301">
        <f>IF($B14=$I$11,'E_Fiber Optic Costs'!$J$31,0)</f>
        <v>0</v>
      </c>
      <c r="F14" s="71">
        <f>E14*(1+0.07)^-($B14-'Global Assumptions'!$C$6)</f>
        <v>0</v>
      </c>
      <c r="H14" s="22" t="s">
        <v>34</v>
      </c>
      <c r="J14" s="124"/>
      <c r="K14" s="22"/>
    </row>
    <row r="15" spans="2:13" ht="15.75" customHeight="1" x14ac:dyDescent="0.25">
      <c r="B15" s="106">
        <f t="shared" si="1"/>
        <v>2027</v>
      </c>
      <c r="C15" s="306">
        <f t="shared" si="0"/>
        <v>0</v>
      </c>
      <c r="D15" s="71">
        <f>C15*(1+0.07)^-($B15-'Global Assumptions'!$C$6)</f>
        <v>0</v>
      </c>
      <c r="E15" s="301">
        <f>IF($B15=$I$11,'E_Fiber Optic Costs'!$J$31,0)</f>
        <v>0</v>
      </c>
      <c r="F15" s="71">
        <f>E15*(1+0.07)^-($B15-'Global Assumptions'!$C$6)</f>
        <v>0</v>
      </c>
      <c r="H15" s="397" t="s">
        <v>4</v>
      </c>
      <c r="I15" s="390" t="s">
        <v>5</v>
      </c>
      <c r="J15" s="393" t="s">
        <v>261</v>
      </c>
      <c r="K15" s="73"/>
    </row>
    <row r="16" spans="2:13" ht="15.75" customHeight="1" x14ac:dyDescent="0.25">
      <c r="B16" s="106">
        <f t="shared" si="1"/>
        <v>2028</v>
      </c>
      <c r="C16" s="306">
        <f t="shared" si="0"/>
        <v>0</v>
      </c>
      <c r="D16" s="71">
        <f>C16*(1+0.07)^-($B16-'Global Assumptions'!$C$6)</f>
        <v>0</v>
      </c>
      <c r="E16" s="301">
        <f>IF($B16=$I$11,'E_Fiber Optic Costs'!$J$31,0)</f>
        <v>0</v>
      </c>
      <c r="F16" s="71">
        <f>E16*(1+0.07)^-($B16-'Global Assumptions'!$C$6)</f>
        <v>0</v>
      </c>
      <c r="H16" s="398"/>
      <c r="I16" s="391"/>
      <c r="J16" s="394"/>
      <c r="K16" s="73"/>
    </row>
    <row r="17" spans="2:11" ht="15.75" customHeight="1" x14ac:dyDescent="0.25">
      <c r="B17" s="106">
        <f t="shared" si="1"/>
        <v>2029</v>
      </c>
      <c r="C17" s="306">
        <f t="shared" si="0"/>
        <v>0</v>
      </c>
      <c r="D17" s="71">
        <f>C17*(1+0.07)^-($B17-'Global Assumptions'!$C$6)</f>
        <v>0</v>
      </c>
      <c r="E17" s="301">
        <f>IF($B17=$I$11,'E_Fiber Optic Costs'!$J$31,0)</f>
        <v>0</v>
      </c>
      <c r="F17" s="71">
        <f>E17*(1+0.07)^-($B17-'Global Assumptions'!$C$6)</f>
        <v>0</v>
      </c>
      <c r="H17" s="399"/>
      <c r="I17" s="392"/>
      <c r="J17" s="395"/>
      <c r="K17" s="73"/>
    </row>
    <row r="18" spans="2:11" ht="15.75" customHeight="1" x14ac:dyDescent="0.25">
      <c r="B18" s="106">
        <f t="shared" si="1"/>
        <v>2030</v>
      </c>
      <c r="C18" s="306">
        <f t="shared" si="0"/>
        <v>0</v>
      </c>
      <c r="D18" s="71">
        <f>C18*(1+0.07)^-($B18-'Global Assumptions'!$C$6)</f>
        <v>0</v>
      </c>
      <c r="E18" s="301">
        <f>IF($B18=$I$11,'E_Fiber Optic Costs'!$J$31,0)</f>
        <v>0</v>
      </c>
      <c r="F18" s="71">
        <f>E18*(1+0.07)^-($B18-'Global Assumptions'!$C$6)</f>
        <v>0</v>
      </c>
      <c r="H18" s="153" t="s">
        <v>262</v>
      </c>
      <c r="I18" s="28">
        <v>25</v>
      </c>
      <c r="J18" s="62">
        <v>250000</v>
      </c>
      <c r="K18" s="74"/>
    </row>
    <row r="19" spans="2:11" ht="15.75" customHeight="1" x14ac:dyDescent="0.25">
      <c r="B19" s="106">
        <f t="shared" si="1"/>
        <v>2031</v>
      </c>
      <c r="C19" s="306">
        <f t="shared" si="0"/>
        <v>0</v>
      </c>
      <c r="D19" s="71">
        <f>C19*(1+0.07)^-($B19-'Global Assumptions'!$C$6)</f>
        <v>0</v>
      </c>
      <c r="E19" s="301">
        <f>IF($B19=$I$11,'E_Fiber Optic Costs'!$J$31,0)</f>
        <v>0</v>
      </c>
      <c r="F19" s="71">
        <f>E19*(1+0.07)^-($B19-'Global Assumptions'!$C$6)</f>
        <v>0</v>
      </c>
      <c r="H19" s="153"/>
      <c r="I19" s="28"/>
      <c r="J19" s="62"/>
      <c r="K19" s="74"/>
    </row>
    <row r="20" spans="2:11" ht="15.75" customHeight="1" x14ac:dyDescent="0.25">
      <c r="B20" s="106">
        <f t="shared" si="1"/>
        <v>2032</v>
      </c>
      <c r="C20" s="306">
        <f t="shared" si="0"/>
        <v>0</v>
      </c>
      <c r="D20" s="71">
        <f>C20*(1+0.07)^-($B20-'Global Assumptions'!$C$6)</f>
        <v>0</v>
      </c>
      <c r="E20" s="301">
        <f>IF($B20=$I$11,'E_Fiber Optic Costs'!$J$31,0)</f>
        <v>0</v>
      </c>
      <c r="F20" s="71">
        <f>E20*(1+0.07)^-($B20-'Global Assumptions'!$C$6)</f>
        <v>0</v>
      </c>
      <c r="H20" s="153"/>
      <c r="I20" s="28"/>
      <c r="J20" s="62"/>
      <c r="K20" s="74"/>
    </row>
    <row r="21" spans="2:11" ht="15.75" customHeight="1" x14ac:dyDescent="0.25">
      <c r="B21" s="106">
        <f t="shared" si="1"/>
        <v>2033</v>
      </c>
      <c r="C21" s="306">
        <f t="shared" si="0"/>
        <v>0</v>
      </c>
      <c r="D21" s="71">
        <f>C21*(1+0.07)^-($B21-'Global Assumptions'!$C$6)</f>
        <v>0</v>
      </c>
      <c r="E21" s="301">
        <f>IF($B21=$I$11,'E_Fiber Optic Costs'!$J$31,0)</f>
        <v>0</v>
      </c>
      <c r="F21" s="71">
        <f>E21*(1+0.07)^-($B21-'Global Assumptions'!$C$6)</f>
        <v>0</v>
      </c>
      <c r="H21" s="396" t="s">
        <v>30</v>
      </c>
      <c r="I21" s="396"/>
      <c r="J21" s="26">
        <f>SUM(J18:J20)</f>
        <v>250000</v>
      </c>
      <c r="K21" s="75"/>
    </row>
    <row r="22" spans="2:11" ht="15.75" customHeight="1" x14ac:dyDescent="0.25">
      <c r="B22" s="106">
        <f t="shared" si="1"/>
        <v>2034</v>
      </c>
      <c r="C22" s="306">
        <f t="shared" si="0"/>
        <v>0</v>
      </c>
      <c r="D22" s="71">
        <f>C22*(1+0.07)^-($B22-'Global Assumptions'!$C$6)</f>
        <v>0</v>
      </c>
      <c r="E22" s="301">
        <f>IF($B22=$I$11,'E_Fiber Optic Costs'!$J$31,0)</f>
        <v>0</v>
      </c>
      <c r="F22" s="71">
        <f>E22*(1+0.07)^-($B22-'Global Assumptions'!$C$6)</f>
        <v>0</v>
      </c>
    </row>
    <row r="23" spans="2:11" ht="15.75" customHeight="1" x14ac:dyDescent="0.25">
      <c r="B23" s="106">
        <f t="shared" si="1"/>
        <v>2035</v>
      </c>
      <c r="C23" s="306">
        <f t="shared" si="0"/>
        <v>0</v>
      </c>
      <c r="D23" s="71">
        <f>C23*(1+0.07)^-($B23-'Global Assumptions'!$C$6)</f>
        <v>0</v>
      </c>
      <c r="E23" s="301">
        <f>IF($B23=$I$11,'E_Fiber Optic Costs'!$J$31,0)</f>
        <v>0</v>
      </c>
      <c r="F23" s="71">
        <f>E23*(1+0.07)^-($B23-'Global Assumptions'!$C$6)</f>
        <v>0</v>
      </c>
    </row>
    <row r="24" spans="2:11" ht="15.75" customHeight="1" x14ac:dyDescent="0.25">
      <c r="B24" s="106">
        <f t="shared" si="1"/>
        <v>2036</v>
      </c>
      <c r="C24" s="306">
        <f t="shared" si="0"/>
        <v>0</v>
      </c>
      <c r="D24" s="71">
        <f>C24*(1+0.07)^-($B24-'Global Assumptions'!$C$6)</f>
        <v>0</v>
      </c>
      <c r="E24" s="301">
        <f>IF($B24=$I$11,'E_Fiber Optic Costs'!$J$31,0)</f>
        <v>0</v>
      </c>
      <c r="F24" s="71">
        <f>E24*(1+0.07)^-($B24-'Global Assumptions'!$C$6)</f>
        <v>0</v>
      </c>
      <c r="H24" s="151" t="s">
        <v>49</v>
      </c>
      <c r="I24" s="7"/>
      <c r="J24" s="124"/>
      <c r="K24" s="22"/>
    </row>
    <row r="25" spans="2:11" ht="15.75" customHeight="1" x14ac:dyDescent="0.25">
      <c r="B25" s="106">
        <f t="shared" si="1"/>
        <v>2037</v>
      </c>
      <c r="C25" s="306">
        <f t="shared" si="0"/>
        <v>0</v>
      </c>
      <c r="D25" s="71">
        <f>C25*(1+0.07)^-($B25-'Global Assumptions'!$C$6)</f>
        <v>0</v>
      </c>
      <c r="E25" s="301">
        <f>IF($B25=$I$11,'E_Fiber Optic Costs'!$J$31,0)</f>
        <v>0</v>
      </c>
      <c r="F25" s="71">
        <f>E25*(1+0.07)^-($B25-'Global Assumptions'!$C$6)</f>
        <v>0</v>
      </c>
      <c r="H25" s="397" t="s">
        <v>4</v>
      </c>
      <c r="I25" s="400" t="s">
        <v>21</v>
      </c>
      <c r="J25" s="400" t="s">
        <v>22</v>
      </c>
      <c r="K25" s="76"/>
    </row>
    <row r="26" spans="2:11" ht="15.75" customHeight="1" x14ac:dyDescent="0.25">
      <c r="B26" s="106">
        <f t="shared" si="1"/>
        <v>2038</v>
      </c>
      <c r="C26" s="306">
        <f t="shared" si="0"/>
        <v>0</v>
      </c>
      <c r="D26" s="71">
        <f>C26*(1+0.07)^-($B26-'Global Assumptions'!$C$6)</f>
        <v>0</v>
      </c>
      <c r="E26" s="301">
        <f>IF($B26=$I$11,'E_Fiber Optic Costs'!$J$31,0)</f>
        <v>0</v>
      </c>
      <c r="F26" s="71">
        <f>E26*(1+0.07)^-($B26-'Global Assumptions'!$C$6)</f>
        <v>0</v>
      </c>
      <c r="H26" s="398"/>
      <c r="I26" s="401"/>
      <c r="J26" s="401"/>
      <c r="K26" s="76"/>
    </row>
    <row r="27" spans="2:11" ht="15.75" customHeight="1" x14ac:dyDescent="0.25">
      <c r="B27" s="106">
        <f t="shared" si="1"/>
        <v>2039</v>
      </c>
      <c r="C27" s="306">
        <f t="shared" si="0"/>
        <v>0</v>
      </c>
      <c r="D27" s="71">
        <f>C27*(1+0.07)^-($B27-'Global Assumptions'!$C$6)</f>
        <v>0</v>
      </c>
      <c r="E27" s="301">
        <f>IF($B27=$I$11,'E_Fiber Optic Costs'!$J$31,0)</f>
        <v>0</v>
      </c>
      <c r="F27" s="71">
        <f>E27*(1+0.07)^-($B27-'Global Assumptions'!$C$6)</f>
        <v>0</v>
      </c>
      <c r="H27" s="399"/>
      <c r="I27" s="402"/>
      <c r="J27" s="402"/>
      <c r="K27" s="76"/>
    </row>
    <row r="28" spans="2:11" ht="15.75" customHeight="1" x14ac:dyDescent="0.25">
      <c r="B28" s="106">
        <f t="shared" si="1"/>
        <v>2040</v>
      </c>
      <c r="C28" s="306">
        <f t="shared" si="0"/>
        <v>0</v>
      </c>
      <c r="D28" s="71">
        <f>C28*(1+0.07)^-($B28-'Global Assumptions'!$C$6)</f>
        <v>0</v>
      </c>
      <c r="E28" s="301">
        <f>IF($B28=$I$11,'E_Fiber Optic Costs'!$J$31,0)</f>
        <v>0</v>
      </c>
      <c r="F28" s="71">
        <f>E28*(1+0.07)^-($B28-'Global Assumptions'!$C$6)</f>
        <v>0</v>
      </c>
      <c r="H28" s="153" t="s">
        <v>262</v>
      </c>
      <c r="I28" s="78">
        <v>0.35184006268551071</v>
      </c>
      <c r="J28" s="79">
        <f>$I28*J18</f>
        <v>87960.015671377681</v>
      </c>
      <c r="K28" s="77"/>
    </row>
    <row r="29" spans="2:11" ht="15.75" customHeight="1" x14ac:dyDescent="0.25">
      <c r="B29" s="106">
        <f t="shared" si="1"/>
        <v>2041</v>
      </c>
      <c r="C29" s="306">
        <f t="shared" si="0"/>
        <v>0</v>
      </c>
      <c r="D29" s="71">
        <f>C29*(1+0.07)^-($B29-'Global Assumptions'!$C$6)</f>
        <v>0</v>
      </c>
      <c r="E29" s="301">
        <f>IF($B29=$I$11,'E_Fiber Optic Costs'!$J$31,0)</f>
        <v>0</v>
      </c>
      <c r="F29" s="71">
        <f>E29*(1+0.07)^-($B29-'Global Assumptions'!$C$6)</f>
        <v>0</v>
      </c>
      <c r="H29" s="153"/>
      <c r="I29" s="78"/>
      <c r="J29" s="79"/>
      <c r="K29" s="77"/>
    </row>
    <row r="30" spans="2:11" ht="15.75" customHeight="1" x14ac:dyDescent="0.25">
      <c r="B30" s="106">
        <f t="shared" si="1"/>
        <v>2042</v>
      </c>
      <c r="C30" s="306">
        <f t="shared" si="0"/>
        <v>0</v>
      </c>
      <c r="D30" s="71">
        <f>C30*(1+0.07)^-($B30-'Global Assumptions'!$C$6)</f>
        <v>0</v>
      </c>
      <c r="E30" s="301">
        <f>IF($B30=$I$11,'E_Fiber Optic Costs'!$J$31,0)</f>
        <v>87960.015671377681</v>
      </c>
      <c r="F30" s="71">
        <f>E30*(1+0.07)^-($B30-'Global Assumptions'!$C$6)</f>
        <v>18554.891164873137</v>
      </c>
      <c r="H30" s="153"/>
      <c r="I30" s="78"/>
      <c r="J30" s="79"/>
      <c r="K30" s="77"/>
    </row>
    <row r="31" spans="2:11" ht="15.75" customHeight="1" x14ac:dyDescent="0.25">
      <c r="B31" s="106">
        <f t="shared" si="1"/>
        <v>2043</v>
      </c>
      <c r="C31" s="306">
        <f t="shared" si="0"/>
        <v>0</v>
      </c>
      <c r="D31" s="71">
        <f>C31*(1+0.07)^-($B31-'Global Assumptions'!$C$6)</f>
        <v>0</v>
      </c>
      <c r="E31" s="301">
        <f>IF($B31=$I$11,'E_Fiber Optic Costs'!$J$31,0)</f>
        <v>0</v>
      </c>
      <c r="F31" s="71">
        <f>E31*(1+0.07)^-($B31-'Global Assumptions'!$C$6)</f>
        <v>0</v>
      </c>
      <c r="H31" s="388" t="s">
        <v>27</v>
      </c>
      <c r="I31" s="389"/>
      <c r="J31" s="27">
        <f>SUM(J28:J30)</f>
        <v>87960.015671377681</v>
      </c>
      <c r="K31" s="75"/>
    </row>
    <row r="32" spans="2:11" ht="15.75" customHeight="1" x14ac:dyDescent="0.25">
      <c r="B32" s="106">
        <f t="shared" si="1"/>
        <v>2044</v>
      </c>
      <c r="C32" s="306">
        <f t="shared" si="0"/>
        <v>0</v>
      </c>
      <c r="D32" s="71">
        <f>C32*(1+0.07)^-($B32-'Global Assumptions'!$C$6)</f>
        <v>0</v>
      </c>
      <c r="E32" s="301">
        <f>IF($B32=$I$11,'E_Fiber Optic Costs'!$J$31,0)</f>
        <v>0</v>
      </c>
      <c r="F32" s="71">
        <f>E32*(1+0.07)^-($B32-'Global Assumptions'!$C$6)</f>
        <v>0</v>
      </c>
    </row>
    <row r="33" spans="1:9" ht="15.75" customHeight="1" x14ac:dyDescent="0.25">
      <c r="B33" s="106">
        <f t="shared" si="1"/>
        <v>2045</v>
      </c>
      <c r="C33" s="306">
        <f t="shared" si="0"/>
        <v>0</v>
      </c>
      <c r="D33" s="71">
        <f>C33*(1+0.07)^-($B33-'Global Assumptions'!$C$6)</f>
        <v>0</v>
      </c>
      <c r="E33" s="301">
        <f>IF($B33=$I$11,'E_Fiber Optic Costs'!$J$31,0)</f>
        <v>0</v>
      </c>
      <c r="F33" s="71">
        <f>E33*(1+0.07)^-($B33-'Global Assumptions'!$C$6)</f>
        <v>0</v>
      </c>
    </row>
    <row r="34" spans="1:9" ht="15.75" customHeight="1" x14ac:dyDescent="0.25">
      <c r="B34" s="106">
        <f t="shared" si="1"/>
        <v>2046</v>
      </c>
      <c r="C34" s="306">
        <f t="shared" si="0"/>
        <v>0</v>
      </c>
      <c r="D34" s="71">
        <f>C34*(1+0.07)^-($B34-'Global Assumptions'!$C$6)</f>
        <v>0</v>
      </c>
      <c r="E34" s="301">
        <f>IF($B34=$I$11,'E_Fiber Optic Costs'!$J$31,0)</f>
        <v>0</v>
      </c>
      <c r="F34" s="71">
        <f>E34*(1+0.07)^-($B34-'Global Assumptions'!$C$6)</f>
        <v>0</v>
      </c>
    </row>
    <row r="35" spans="1:9" ht="15.75" customHeight="1" x14ac:dyDescent="0.25">
      <c r="B35" s="106">
        <f t="shared" si="1"/>
        <v>2047</v>
      </c>
      <c r="C35" s="306">
        <f t="shared" si="0"/>
        <v>0</v>
      </c>
      <c r="D35" s="71">
        <f>C35*(1+0.07)^-($B35-'Global Assumptions'!$C$6)</f>
        <v>0</v>
      </c>
      <c r="E35" s="301">
        <f>IF($B35=$I$11,'E_Fiber Optic Costs'!$J$31,0)</f>
        <v>0</v>
      </c>
      <c r="F35" s="71">
        <f>E35*(1+0.07)^-($B35-'Global Assumptions'!$C$6)</f>
        <v>0</v>
      </c>
    </row>
    <row r="36" spans="1:9" ht="15.75" customHeight="1" x14ac:dyDescent="0.25">
      <c r="B36" s="106">
        <f t="shared" si="1"/>
        <v>2048</v>
      </c>
      <c r="C36" s="306">
        <f t="shared" si="0"/>
        <v>0</v>
      </c>
      <c r="D36" s="71">
        <f>C36*(1+0.07)^-($B36-'Global Assumptions'!$C$6)</f>
        <v>0</v>
      </c>
      <c r="E36" s="301">
        <f>IF($B36=$I$11,'E_Fiber Optic Costs'!$J$31,0)</f>
        <v>0</v>
      </c>
      <c r="F36" s="71">
        <f>E36*(1+0.07)^-($B36-'Global Assumptions'!$C$6)</f>
        <v>0</v>
      </c>
    </row>
    <row r="37" spans="1:9" ht="15.75" customHeight="1" x14ac:dyDescent="0.25">
      <c r="B37" s="106">
        <f t="shared" si="1"/>
        <v>2049</v>
      </c>
      <c r="C37" s="306">
        <f t="shared" si="0"/>
        <v>0</v>
      </c>
      <c r="D37" s="71">
        <f>C37*(1+0.07)^-($B37-'Global Assumptions'!$C$6)</f>
        <v>0</v>
      </c>
      <c r="E37" s="301">
        <f>IF($B37=$I$11,'E_Fiber Optic Costs'!$J$31,0)</f>
        <v>0</v>
      </c>
      <c r="F37" s="71">
        <f>E37*(1+0.07)^-($B37-'Global Assumptions'!$C$6)</f>
        <v>0</v>
      </c>
    </row>
    <row r="38" spans="1:9" ht="15.75" customHeight="1" x14ac:dyDescent="0.25">
      <c r="B38" s="106">
        <f t="shared" si="1"/>
        <v>2050</v>
      </c>
      <c r="C38" s="306">
        <f t="shared" si="0"/>
        <v>0</v>
      </c>
      <c r="D38" s="71">
        <f>C38*(1+0.07)^-($B38-'Global Assumptions'!$C$6)</f>
        <v>0</v>
      </c>
      <c r="E38" s="301">
        <f>IF($B38=$I$11,'E_Fiber Optic Costs'!$J$31,0)</f>
        <v>0</v>
      </c>
      <c r="F38" s="71">
        <f>E38*(1+0.07)^-($B38-'Global Assumptions'!$C$6)</f>
        <v>0</v>
      </c>
    </row>
    <row r="39" spans="1:9" ht="15.75" customHeight="1" x14ac:dyDescent="0.25">
      <c r="B39" s="106">
        <f t="shared" si="1"/>
        <v>2051</v>
      </c>
      <c r="C39" s="306">
        <f t="shared" si="0"/>
        <v>0</v>
      </c>
      <c r="D39" s="71">
        <f>C39*(1+0.07)^-($B39-'Global Assumptions'!$C$6)</f>
        <v>0</v>
      </c>
      <c r="E39" s="301">
        <f>IF($B39=$I$11,'E_Fiber Optic Costs'!$J$31,0)</f>
        <v>0</v>
      </c>
      <c r="F39" s="71">
        <f>E39*(1+0.07)^-($B39-'Global Assumptions'!$C$6)</f>
        <v>0</v>
      </c>
      <c r="G39" s="14"/>
    </row>
    <row r="40" spans="1:9" ht="15.75" customHeight="1" x14ac:dyDescent="0.25">
      <c r="B40" s="106">
        <f t="shared" si="1"/>
        <v>2052</v>
      </c>
      <c r="C40" s="306">
        <f t="shared" si="0"/>
        <v>0</v>
      </c>
      <c r="D40" s="71">
        <f>C40*(1+0.07)^-($B40-'Global Assumptions'!$C$6)</f>
        <v>0</v>
      </c>
      <c r="E40" s="301">
        <f>IF($B40=$I$11,'E_Fiber Optic Costs'!$J$31,0)</f>
        <v>0</v>
      </c>
      <c r="F40" s="71">
        <f>E40*(1+0.07)^-($B40-'Global Assumptions'!$C$6)</f>
        <v>0</v>
      </c>
    </row>
    <row r="41" spans="1:9" ht="15.75" customHeight="1" x14ac:dyDescent="0.25">
      <c r="B41" s="106">
        <f t="shared" si="1"/>
        <v>2053</v>
      </c>
      <c r="C41" s="306">
        <f t="shared" si="0"/>
        <v>0</v>
      </c>
      <c r="D41" s="71">
        <f>C41*(1+0.07)^-($B41-'Global Assumptions'!$C$6)</f>
        <v>0</v>
      </c>
      <c r="E41" s="301">
        <f>IF($B41=$I$11,'E_Fiber Optic Costs'!$J$31,0)</f>
        <v>0</v>
      </c>
      <c r="F41" s="71">
        <f>E41*(1+0.07)^-($B41-'Global Assumptions'!$C$6)</f>
        <v>0</v>
      </c>
    </row>
    <row r="42" spans="1:9" ht="15.75" customHeight="1" x14ac:dyDescent="0.25">
      <c r="B42" s="106">
        <f t="shared" si="1"/>
        <v>2054</v>
      </c>
      <c r="C42" s="306">
        <f t="shared" si="0"/>
        <v>0</v>
      </c>
      <c r="D42" s="71">
        <f>C42*(1+0.07)^-($B42-'Global Assumptions'!$C$6)</f>
        <v>0</v>
      </c>
      <c r="E42" s="301">
        <f>IF($B42=$I$11,'E_Fiber Optic Costs'!$J$31,0)</f>
        <v>0</v>
      </c>
      <c r="F42" s="71">
        <f>E42*(1+0.07)^-($B42-'Global Assumptions'!$C$6)</f>
        <v>0</v>
      </c>
    </row>
    <row r="43" spans="1:9" ht="15.75" customHeight="1" x14ac:dyDescent="0.25">
      <c r="A43" s="14"/>
      <c r="B43" s="106">
        <f t="shared" si="1"/>
        <v>2055</v>
      </c>
      <c r="C43" s="306">
        <f t="shared" si="0"/>
        <v>0</v>
      </c>
      <c r="D43" s="71">
        <f>C43*(1+0.07)^-($B43-'Global Assumptions'!$C$6)</f>
        <v>0</v>
      </c>
      <c r="E43" s="301">
        <f>IF($B43=$I$11,'E_Fiber Optic Costs'!$J$31,0)</f>
        <v>0</v>
      </c>
      <c r="F43" s="71">
        <f>E43*(1+0.07)^-($B43-'Global Assumptions'!$C$6)</f>
        <v>0</v>
      </c>
    </row>
    <row r="44" spans="1:9" ht="15.75" customHeight="1" thickBot="1" x14ac:dyDescent="0.3">
      <c r="B44" s="107">
        <f t="shared" si="1"/>
        <v>2056</v>
      </c>
      <c r="C44" s="307">
        <f t="shared" si="0"/>
        <v>0</v>
      </c>
      <c r="D44" s="72">
        <f>C44*(1+0.07)^-($B44-'Global Assumptions'!$C$6)</f>
        <v>0</v>
      </c>
      <c r="E44" s="311">
        <f>IF($B44=$I$11,'E_Fiber Optic Costs'!$J$31,0)</f>
        <v>0</v>
      </c>
      <c r="F44" s="72">
        <f>E44*(1+0.07)^-($B44-'Global Assumptions'!$C$6)</f>
        <v>0</v>
      </c>
    </row>
    <row r="45" spans="1:9" ht="15.75" customHeight="1" thickBot="1" x14ac:dyDescent="0.3">
      <c r="C45" s="126" t="s">
        <v>63</v>
      </c>
      <c r="D45" s="92">
        <f>SUM(D7:D44)</f>
        <v>204074.46922271297</v>
      </c>
      <c r="E45" s="126" t="s">
        <v>64</v>
      </c>
      <c r="F45" s="92">
        <f>SUM(F7:F44)</f>
        <v>18554.891164873137</v>
      </c>
    </row>
    <row r="46" spans="1:9" ht="15" customHeight="1" x14ac:dyDescent="0.25"/>
    <row r="48" spans="1:9" ht="15.75" thickBot="1" x14ac:dyDescent="0.3">
      <c r="B48" s="15" t="s">
        <v>3</v>
      </c>
      <c r="C48" s="14"/>
      <c r="D48" s="14"/>
      <c r="E48" s="14"/>
      <c r="F48" s="14"/>
      <c r="I48" s="151" t="s">
        <v>62</v>
      </c>
    </row>
    <row r="49" spans="1:10" ht="15.75" thickBot="1" x14ac:dyDescent="0.3">
      <c r="A49" s="96" t="s">
        <v>24</v>
      </c>
      <c r="B49" s="367" t="s">
        <v>324</v>
      </c>
      <c r="C49" s="367"/>
      <c r="D49" s="367"/>
      <c r="E49" s="367"/>
      <c r="F49" s="367"/>
      <c r="I49" s="11"/>
      <c r="J49" s="161" t="s">
        <v>39</v>
      </c>
    </row>
    <row r="50" spans="1:10" x14ac:dyDescent="0.25">
      <c r="B50" s="367"/>
      <c r="C50" s="367"/>
      <c r="D50" s="367"/>
      <c r="E50" s="367"/>
      <c r="F50" s="367"/>
      <c r="I50" s="12" t="s">
        <v>18</v>
      </c>
      <c r="J50" s="98">
        <f>'E_Fiber Optic_Benefits'!E31+'E_Fiber Optic Costs'!F45</f>
        <v>347995.89116487314</v>
      </c>
    </row>
    <row r="51" spans="1:10" ht="15" customHeight="1" thickBot="1" x14ac:dyDescent="0.3">
      <c r="B51" s="367"/>
      <c r="C51" s="367"/>
      <c r="D51" s="367"/>
      <c r="E51" s="367"/>
      <c r="F51" s="367"/>
      <c r="I51" s="13" t="s">
        <v>19</v>
      </c>
      <c r="J51" s="99">
        <f>D45</f>
        <v>204074.46922271297</v>
      </c>
    </row>
    <row r="52" spans="1:10" ht="15.75" thickTop="1" x14ac:dyDescent="0.25">
      <c r="B52" s="367"/>
      <c r="C52" s="367"/>
      <c r="D52" s="367"/>
      <c r="E52" s="367"/>
      <c r="F52" s="367"/>
      <c r="I52" s="87" t="s">
        <v>20</v>
      </c>
      <c r="J52" s="88">
        <f>+J50/J51</f>
        <v>1.705239722001159</v>
      </c>
    </row>
    <row r="53" spans="1:10" ht="15.75" thickBot="1" x14ac:dyDescent="0.3">
      <c r="B53" s="367"/>
      <c r="C53" s="367"/>
      <c r="D53" s="367"/>
      <c r="E53" s="367"/>
      <c r="F53" s="367"/>
      <c r="I53" s="89" t="s">
        <v>50</v>
      </c>
      <c r="J53" s="90">
        <f>J50-J51</f>
        <v>143921.42194216017</v>
      </c>
    </row>
    <row r="54" spans="1:10" x14ac:dyDescent="0.25">
      <c r="A54" s="96"/>
      <c r="B54" s="215"/>
      <c r="C54" s="215"/>
      <c r="D54" s="215"/>
      <c r="E54" s="215"/>
      <c r="F54" s="215"/>
    </row>
    <row r="55" spans="1:10" ht="15" customHeight="1" x14ac:dyDescent="0.25">
      <c r="A55" s="96" t="s">
        <v>23</v>
      </c>
      <c r="B55" s="367" t="s">
        <v>52</v>
      </c>
      <c r="C55" s="367"/>
      <c r="D55" s="367"/>
      <c r="E55" s="367"/>
      <c r="F55" s="367"/>
    </row>
    <row r="56" spans="1:10" x14ac:dyDescent="0.25">
      <c r="A56" s="50"/>
      <c r="B56" s="367"/>
      <c r="C56" s="367"/>
      <c r="D56" s="367"/>
      <c r="E56" s="367"/>
      <c r="F56" s="367"/>
    </row>
    <row r="57" spans="1:10" x14ac:dyDescent="0.25">
      <c r="A57" s="50"/>
      <c r="B57" s="367"/>
      <c r="C57" s="367"/>
      <c r="D57" s="367"/>
      <c r="E57" s="367"/>
      <c r="F57" s="367"/>
    </row>
    <row r="58" spans="1:10" x14ac:dyDescent="0.25">
      <c r="A58" s="96"/>
      <c r="B58" s="367"/>
      <c r="C58" s="367"/>
      <c r="D58" s="367"/>
      <c r="E58" s="367"/>
      <c r="F58" s="367"/>
    </row>
    <row r="59" spans="1:10" x14ac:dyDescent="0.25">
      <c r="B59" s="367"/>
      <c r="C59" s="367"/>
      <c r="D59" s="367"/>
      <c r="E59" s="367"/>
      <c r="F59" s="367"/>
    </row>
    <row r="60" spans="1:10" x14ac:dyDescent="0.25">
      <c r="B60" s="367"/>
      <c r="C60" s="367"/>
      <c r="D60" s="367"/>
      <c r="E60" s="367"/>
      <c r="F60" s="367"/>
    </row>
    <row r="61" spans="1:10" ht="15" customHeight="1" x14ac:dyDescent="0.25">
      <c r="A61" s="152"/>
      <c r="B61" s="367"/>
      <c r="C61" s="367"/>
      <c r="D61" s="367"/>
      <c r="E61" s="367"/>
      <c r="F61" s="367"/>
    </row>
    <row r="62" spans="1:10" x14ac:dyDescent="0.25">
      <c r="A62" s="50"/>
      <c r="B62" s="367"/>
      <c r="C62" s="367"/>
      <c r="D62" s="367"/>
      <c r="E62" s="367"/>
      <c r="F62" s="367"/>
    </row>
    <row r="63" spans="1:10" x14ac:dyDescent="0.25">
      <c r="B63" s="367"/>
      <c r="C63" s="367"/>
      <c r="D63" s="367"/>
      <c r="E63" s="367"/>
      <c r="F63" s="367"/>
    </row>
  </sheetData>
  <mergeCells count="15">
    <mergeCell ref="H31:I31"/>
    <mergeCell ref="B49:F53"/>
    <mergeCell ref="B55:F63"/>
    <mergeCell ref="I15:I17"/>
    <mergeCell ref="J15:J17"/>
    <mergeCell ref="H21:I21"/>
    <mergeCell ref="H25:H27"/>
    <mergeCell ref="I25:I27"/>
    <mergeCell ref="J25:J27"/>
    <mergeCell ref="H15:H17"/>
    <mergeCell ref="B5:B6"/>
    <mergeCell ref="C5:C6"/>
    <mergeCell ref="D5:D6"/>
    <mergeCell ref="E5:E6"/>
    <mergeCell ref="F5:F6"/>
  </mergeCells>
  <pageMargins left="0.25" right="0.25" top="0.75" bottom="0.75" header="0.3" footer="0.3"/>
  <pageSetup paperSize="119"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E5129-EF53-408A-BD5A-88EEB71A7D8F}">
  <sheetPr>
    <tabColor rgb="FF00B050"/>
    <pageSetUpPr fitToPage="1"/>
  </sheetPr>
  <dimension ref="A1:M79"/>
  <sheetViews>
    <sheetView view="pageBreakPreview" zoomScale="85" zoomScaleNormal="85" zoomScaleSheetLayoutView="85" workbookViewId="0">
      <selection activeCell="G6" sqref="G6"/>
    </sheetView>
  </sheetViews>
  <sheetFormatPr defaultColWidth="9.140625" defaultRowHeight="15" x14ac:dyDescent="0.25"/>
  <cols>
    <col min="1" max="1" width="3.7109375" style="211" customWidth="1"/>
    <col min="2" max="5" width="15.7109375" style="211" customWidth="1"/>
    <col min="6" max="6" width="5.7109375" style="211" customWidth="1"/>
    <col min="7" max="7" width="21.140625" style="211" customWidth="1"/>
    <col min="8" max="8" width="15.5703125" style="211" customWidth="1"/>
    <col min="9" max="9" width="12.28515625" style="211" bestFit="1" customWidth="1"/>
    <col min="10" max="10" width="11" style="211" customWidth="1"/>
    <col min="11" max="12" width="9.140625" style="211"/>
    <col min="13" max="13" width="21" style="211" bestFit="1" customWidth="1"/>
    <col min="14" max="16384" width="9.140625" style="211"/>
  </cols>
  <sheetData>
    <row r="1" spans="1:12" x14ac:dyDescent="0.25">
      <c r="A1" s="14"/>
      <c r="B1" s="14"/>
      <c r="C1" s="14"/>
      <c r="D1" s="14"/>
      <c r="E1" s="14"/>
    </row>
    <row r="2" spans="1:12" x14ac:dyDescent="0.25">
      <c r="B2" s="151"/>
    </row>
    <row r="3" spans="1:12" x14ac:dyDescent="0.25">
      <c r="B3" s="151"/>
    </row>
    <row r="4" spans="1:12" ht="15.75" thickBot="1" x14ac:dyDescent="0.3">
      <c r="C4" s="113"/>
      <c r="D4" s="113"/>
      <c r="E4" s="113"/>
      <c r="H4" s="56"/>
    </row>
    <row r="5" spans="1:12" ht="35.1" customHeight="1" x14ac:dyDescent="0.25">
      <c r="B5" s="372" t="s">
        <v>0</v>
      </c>
      <c r="C5" s="374" t="s">
        <v>289</v>
      </c>
      <c r="D5" s="376" t="s">
        <v>2</v>
      </c>
      <c r="E5" s="378" t="s">
        <v>1</v>
      </c>
      <c r="G5" s="56"/>
      <c r="I5" s="20"/>
    </row>
    <row r="6" spans="1:12" ht="43.5" customHeight="1" thickBot="1" x14ac:dyDescent="0.3">
      <c r="B6" s="373"/>
      <c r="C6" s="375"/>
      <c r="D6" s="377"/>
      <c r="E6" s="379"/>
      <c r="G6" s="146"/>
      <c r="H6" s="146"/>
      <c r="I6" s="41"/>
    </row>
    <row r="7" spans="1:12" ht="18" customHeight="1" x14ac:dyDescent="0.25">
      <c r="B7" s="1">
        <f>'F_Copeland Sidewalk_Costs'!I10</f>
        <v>2023</v>
      </c>
      <c r="C7" s="349">
        <f t="shared" ref="C7:C26" si="0">TREND($H$34:$H$35,$G$34:$G$35,B7)-TREND($I$34:$I$35,$G$34:$G$35,B7)</f>
        <v>107417.19907393586</v>
      </c>
      <c r="D7" s="80">
        <f t="shared" ref="D7:D36" si="1">SUM(C7:C7)</f>
        <v>107417.19907393586</v>
      </c>
      <c r="E7" s="83">
        <f>D7*(1+0.05)^-($B7-'Global Assumptions'!$C$6)</f>
        <v>88372.395513339288</v>
      </c>
      <c r="G7" s="218" t="s">
        <v>247</v>
      </c>
      <c r="H7" s="58"/>
      <c r="I7" s="220"/>
      <c r="J7" s="220"/>
      <c r="K7" s="220"/>
      <c r="L7" s="220"/>
    </row>
    <row r="8" spans="1:12" x14ac:dyDescent="0.25">
      <c r="B8" s="2">
        <f>B7+1</f>
        <v>2024</v>
      </c>
      <c r="C8" s="350">
        <f t="shared" si="0"/>
        <v>108150.49884242006</v>
      </c>
      <c r="D8" s="81">
        <f t="shared" si="1"/>
        <v>108150.49884242006</v>
      </c>
      <c r="E8" s="84">
        <f>D8*(1+0.07)^-($B8-'Global Assumptions'!$C$6)</f>
        <v>77109.810978909969</v>
      </c>
      <c r="G8" s="93" t="s">
        <v>44</v>
      </c>
      <c r="H8" s="141" t="s">
        <v>35</v>
      </c>
      <c r="I8" s="141" t="s">
        <v>36</v>
      </c>
      <c r="J8" s="141" t="s">
        <v>37</v>
      </c>
      <c r="K8" s="139" t="s">
        <v>38</v>
      </c>
      <c r="L8" s="139" t="s">
        <v>41</v>
      </c>
    </row>
    <row r="9" spans="1:12" x14ac:dyDescent="0.25">
      <c r="B9" s="2">
        <f t="shared" ref="B9:B36" si="2">B8+1</f>
        <v>2025</v>
      </c>
      <c r="C9" s="350">
        <f t="shared" si="0"/>
        <v>108883.79861090332</v>
      </c>
      <c r="D9" s="81">
        <f t="shared" si="1"/>
        <v>108883.79861090332</v>
      </c>
      <c r="E9" s="84">
        <f>D9*(1+0.07)^-($B9-'Global Assumptions'!$C$6)</f>
        <v>72553.872503978622</v>
      </c>
      <c r="G9" s="93" t="s">
        <v>29</v>
      </c>
      <c r="H9" s="142">
        <v>10900000</v>
      </c>
      <c r="I9" s="142">
        <v>521300</v>
      </c>
      <c r="J9" s="142">
        <v>142000</v>
      </c>
      <c r="K9" s="142">
        <v>72500</v>
      </c>
      <c r="L9" s="142">
        <v>4500</v>
      </c>
    </row>
    <row r="10" spans="1:12" x14ac:dyDescent="0.25">
      <c r="B10" s="2">
        <f t="shared" si="2"/>
        <v>2026</v>
      </c>
      <c r="C10" s="350">
        <f t="shared" si="0"/>
        <v>109617.09837938752</v>
      </c>
      <c r="D10" s="81">
        <f t="shared" si="1"/>
        <v>109617.09837938752</v>
      </c>
      <c r="E10" s="84">
        <f>D10*(1+0.07)^-($B10-'Global Assumptions'!$C$6)</f>
        <v>68264.019721901408</v>
      </c>
      <c r="G10" s="220"/>
      <c r="H10" s="220"/>
      <c r="I10" s="220"/>
      <c r="J10" s="220"/>
      <c r="K10" s="220"/>
      <c r="L10" s="220"/>
    </row>
    <row r="11" spans="1:12" x14ac:dyDescent="0.25">
      <c r="B11" s="2">
        <f t="shared" si="2"/>
        <v>2027</v>
      </c>
      <c r="C11" s="350">
        <f t="shared" si="0"/>
        <v>110350.39814787172</v>
      </c>
      <c r="D11" s="81">
        <f t="shared" si="1"/>
        <v>110350.39814787172</v>
      </c>
      <c r="E11" s="84">
        <f>D11*(1+0.07)^-($B11-'Global Assumptions'!$C$6)</f>
        <v>64224.936414438293</v>
      </c>
      <c r="G11" s="56"/>
      <c r="H11" s="58"/>
      <c r="I11" s="220"/>
      <c r="J11" s="220"/>
      <c r="K11" s="220"/>
      <c r="L11" s="220"/>
    </row>
    <row r="12" spans="1:12" x14ac:dyDescent="0.25">
      <c r="B12" s="2">
        <f t="shared" si="2"/>
        <v>2028</v>
      </c>
      <c r="C12" s="350">
        <f t="shared" si="0"/>
        <v>111083.69791635498</v>
      </c>
      <c r="D12" s="81">
        <f t="shared" si="1"/>
        <v>111083.69791635498</v>
      </c>
      <c r="E12" s="84">
        <f>D12*(1+0.07)^-($B12-'Global Assumptions'!$C$6)</f>
        <v>60422.171547729893</v>
      </c>
      <c r="G12" s="218" t="s">
        <v>355</v>
      </c>
      <c r="H12" s="220"/>
      <c r="I12" s="159"/>
      <c r="J12" s="220"/>
      <c r="K12" s="220"/>
      <c r="L12" s="220"/>
    </row>
    <row r="13" spans="1:12" x14ac:dyDescent="0.25">
      <c r="B13" s="2">
        <f t="shared" si="2"/>
        <v>2029</v>
      </c>
      <c r="C13" s="350">
        <f t="shared" si="0"/>
        <v>111816.99768483918</v>
      </c>
      <c r="D13" s="81">
        <f t="shared" si="1"/>
        <v>111816.99768483918</v>
      </c>
      <c r="E13" s="84">
        <f>D13*(1+0.07)^-($B13-'Global Assumptions'!$C$6)</f>
        <v>56842.09162171738</v>
      </c>
      <c r="G13" s="93" t="s">
        <v>248</v>
      </c>
      <c r="H13" s="141" t="s">
        <v>35</v>
      </c>
      <c r="I13" s="141" t="s">
        <v>36</v>
      </c>
      <c r="J13" s="141" t="s">
        <v>37</v>
      </c>
      <c r="K13" s="139" t="s">
        <v>38</v>
      </c>
      <c r="L13" s="139" t="s">
        <v>41</v>
      </c>
    </row>
    <row r="14" spans="1:12" ht="15" customHeight="1" x14ac:dyDescent="0.25">
      <c r="B14" s="2">
        <f t="shared" si="2"/>
        <v>2030</v>
      </c>
      <c r="C14" s="350">
        <f t="shared" si="0"/>
        <v>112550.29745332338</v>
      </c>
      <c r="D14" s="81">
        <f t="shared" si="1"/>
        <v>112550.29745332338</v>
      </c>
      <c r="E14" s="84">
        <f>D14*(1+0.07)^-($B14-'Global Assumptions'!$C$6)</f>
        <v>53471.835551354081</v>
      </c>
      <c r="G14" s="160" t="s">
        <v>249</v>
      </c>
      <c r="H14" s="94">
        <v>0</v>
      </c>
      <c r="I14" s="261">
        <v>2</v>
      </c>
      <c r="J14" s="261">
        <v>10</v>
      </c>
      <c r="K14" s="261">
        <v>2</v>
      </c>
      <c r="L14" s="261">
        <v>1</v>
      </c>
    </row>
    <row r="15" spans="1:12" x14ac:dyDescent="0.25">
      <c r="B15" s="2">
        <f t="shared" si="2"/>
        <v>2031</v>
      </c>
      <c r="C15" s="350">
        <f t="shared" si="0"/>
        <v>113283.59722180665</v>
      </c>
      <c r="D15" s="81">
        <f t="shared" si="1"/>
        <v>113283.59722180665</v>
      </c>
      <c r="E15" s="84">
        <f>D15*(1+0.07)^-($B15-'Global Assumptions'!$C$6)</f>
        <v>50299.271952292685</v>
      </c>
    </row>
    <row r="16" spans="1:12" x14ac:dyDescent="0.25">
      <c r="B16" s="2">
        <f t="shared" si="2"/>
        <v>2032</v>
      </c>
      <c r="C16" s="350">
        <f t="shared" si="0"/>
        <v>114016.89699029177</v>
      </c>
      <c r="D16" s="81">
        <f t="shared" si="1"/>
        <v>114016.89699029177</v>
      </c>
      <c r="E16" s="84">
        <f>D16*(1+0.07)^-($B16-'Global Assumptions'!$C$6)</f>
        <v>47312.95870954069</v>
      </c>
      <c r="G16" s="220"/>
      <c r="H16" s="220"/>
      <c r="I16" s="220"/>
      <c r="J16" s="151"/>
      <c r="K16" s="220"/>
      <c r="L16" s="220"/>
    </row>
    <row r="17" spans="2:13" x14ac:dyDescent="0.25">
      <c r="B17" s="2">
        <f t="shared" si="2"/>
        <v>2033</v>
      </c>
      <c r="C17" s="350">
        <f t="shared" si="0"/>
        <v>114750.19675877597</v>
      </c>
      <c r="D17" s="81">
        <f t="shared" si="1"/>
        <v>114750.19675877597</v>
      </c>
      <c r="E17" s="84">
        <f>D17*(1+0.07)^-($B17-'Global Assumptions'!$C$6)</f>
        <v>44502.104713183675</v>
      </c>
      <c r="G17" s="218" t="s">
        <v>354</v>
      </c>
      <c r="H17" s="220"/>
      <c r="I17" s="220"/>
      <c r="J17" s="220"/>
      <c r="K17" s="220"/>
      <c r="L17" s="220"/>
    </row>
    <row r="18" spans="2:13" x14ac:dyDescent="0.25">
      <c r="B18" s="2">
        <f t="shared" si="2"/>
        <v>2034</v>
      </c>
      <c r="C18" s="350">
        <f t="shared" si="0"/>
        <v>115483.49652725924</v>
      </c>
      <c r="D18" s="81">
        <f t="shared" si="1"/>
        <v>115483.49652725924</v>
      </c>
      <c r="E18" s="84">
        <f>D18*(1+0.07)^-($B18-'Global Assumptions'!$C$6)</f>
        <v>41856.533650687379</v>
      </c>
      <c r="G18" s="93" t="s">
        <v>248</v>
      </c>
      <c r="H18" s="141" t="s">
        <v>35</v>
      </c>
      <c r="I18" s="141" t="s">
        <v>36</v>
      </c>
      <c r="J18" s="141" t="s">
        <v>37</v>
      </c>
      <c r="K18" s="139" t="s">
        <v>38</v>
      </c>
      <c r="L18" s="139" t="s">
        <v>41</v>
      </c>
    </row>
    <row r="19" spans="2:13" x14ac:dyDescent="0.25">
      <c r="B19" s="2">
        <f t="shared" si="2"/>
        <v>2035</v>
      </c>
      <c r="C19" s="350">
        <f t="shared" si="0"/>
        <v>116216.79629574344</v>
      </c>
      <c r="D19" s="81">
        <f t="shared" si="1"/>
        <v>116216.79629574344</v>
      </c>
      <c r="E19" s="84">
        <f>D19*(1+0.07)^-($B19-'Global Assumptions'!$C$6)</f>
        <v>39366.649750447796</v>
      </c>
      <c r="G19" s="160" t="s">
        <v>249</v>
      </c>
      <c r="H19" s="94">
        <v>0.8</v>
      </c>
      <c r="I19" s="261">
        <v>0.8</v>
      </c>
      <c r="J19" s="261">
        <v>0.8</v>
      </c>
      <c r="K19" s="261">
        <v>0.8</v>
      </c>
      <c r="L19" s="261">
        <v>0.8</v>
      </c>
    </row>
    <row r="20" spans="2:13" x14ac:dyDescent="0.25">
      <c r="B20" s="2">
        <f t="shared" si="2"/>
        <v>2036</v>
      </c>
      <c r="C20" s="350">
        <f t="shared" si="0"/>
        <v>116950.0960642267</v>
      </c>
      <c r="D20" s="81">
        <f t="shared" si="1"/>
        <v>116950.0960642267</v>
      </c>
      <c r="E20" s="84">
        <f>D20*(1+0.07)^-($B20-'Global Assumptions'!$C$6)</f>
        <v>37023.4053762517</v>
      </c>
      <c r="G20" s="155" t="s">
        <v>299</v>
      </c>
      <c r="H20" s="329" t="s">
        <v>300</v>
      </c>
    </row>
    <row r="21" spans="2:13" x14ac:dyDescent="0.25">
      <c r="B21" s="2">
        <f t="shared" si="2"/>
        <v>2037</v>
      </c>
      <c r="C21" s="350">
        <f t="shared" si="0"/>
        <v>117683.3958327109</v>
      </c>
      <c r="D21" s="81">
        <f t="shared" si="1"/>
        <v>117683.3958327109</v>
      </c>
      <c r="E21" s="84">
        <f>D21*(1+0.07)^-($B21-'Global Assumptions'!$C$6)</f>
        <v>34818.270377090703</v>
      </c>
      <c r="G21" s="211" t="s">
        <v>361</v>
      </c>
      <c r="H21" s="220"/>
      <c r="I21" s="220"/>
      <c r="J21" s="220"/>
      <c r="K21" s="220"/>
      <c r="L21" s="220"/>
    </row>
    <row r="22" spans="2:13" x14ac:dyDescent="0.25">
      <c r="B22" s="2">
        <f t="shared" si="2"/>
        <v>2038</v>
      </c>
      <c r="C22" s="350">
        <f t="shared" si="0"/>
        <v>118416.6956011951</v>
      </c>
      <c r="D22" s="81">
        <f t="shared" si="1"/>
        <v>118416.6956011951</v>
      </c>
      <c r="E22" s="84">
        <f>D22*(1+0.07)^-($B22-'Global Assumptions'!$C$6)</f>
        <v>32743.203101338466</v>
      </c>
      <c r="J22" s="220"/>
      <c r="K22" s="220"/>
      <c r="L22" s="220"/>
    </row>
    <row r="23" spans="2:13" x14ac:dyDescent="0.25">
      <c r="B23" s="2">
        <f t="shared" si="2"/>
        <v>2039</v>
      </c>
      <c r="C23" s="350">
        <f t="shared" si="0"/>
        <v>119149.99536967836</v>
      </c>
      <c r="D23" s="81">
        <f t="shared" si="1"/>
        <v>119149.99536967836</v>
      </c>
      <c r="E23" s="84">
        <f>D23*(1+0.07)^-($B23-'Global Assumptions'!$C$6)</f>
        <v>30790.622988709358</v>
      </c>
      <c r="J23" s="220"/>
      <c r="K23" s="220"/>
      <c r="L23" s="220"/>
    </row>
    <row r="24" spans="2:13" ht="17.25" x14ac:dyDescent="0.25">
      <c r="B24" s="2">
        <f t="shared" si="2"/>
        <v>2040</v>
      </c>
      <c r="C24" s="350">
        <f t="shared" si="0"/>
        <v>119883.29513816256</v>
      </c>
      <c r="D24" s="81">
        <f t="shared" si="1"/>
        <v>119883.29513816256</v>
      </c>
      <c r="E24" s="84">
        <f>D24*(1+0.07)^-($B24-'Global Assumptions'!$C$6)</f>
        <v>28953.384657611852</v>
      </c>
      <c r="G24" s="294" t="s">
        <v>331</v>
      </c>
      <c r="H24" s="294"/>
      <c r="I24" s="220"/>
      <c r="J24" s="220"/>
      <c r="K24" s="220"/>
      <c r="L24" s="220"/>
      <c r="M24" s="103"/>
    </row>
    <row r="25" spans="2:13" x14ac:dyDescent="0.25">
      <c r="B25" s="2">
        <f t="shared" si="2"/>
        <v>2041</v>
      </c>
      <c r="C25" s="350">
        <f t="shared" si="0"/>
        <v>120616.59490664676</v>
      </c>
      <c r="D25" s="81">
        <f t="shared" si="1"/>
        <v>120616.59490664676</v>
      </c>
      <c r="E25" s="84">
        <f>D25*(1+0.07)^-($B25-'Global Assumptions'!$C$6)</f>
        <v>27224.75340953796</v>
      </c>
      <c r="G25" s="228" t="s">
        <v>46</v>
      </c>
      <c r="H25" s="228" t="s">
        <v>297</v>
      </c>
      <c r="J25" s="220"/>
      <c r="K25" s="220"/>
      <c r="L25" s="220"/>
    </row>
    <row r="26" spans="2:13" x14ac:dyDescent="0.25">
      <c r="B26" s="2">
        <f t="shared" si="2"/>
        <v>2042</v>
      </c>
      <c r="C26" s="350">
        <f t="shared" si="0"/>
        <v>121349.89467513002</v>
      </c>
      <c r="D26" s="81">
        <f t="shared" si="1"/>
        <v>121349.89467513002</v>
      </c>
      <c r="E26" s="84">
        <f>D26*(1+0.07)^-($B26-'Global Assumptions'!$C$6)</f>
        <v>25598.382075988429</v>
      </c>
      <c r="G26" s="317">
        <v>2000</v>
      </c>
      <c r="H26" s="345">
        <v>107120</v>
      </c>
      <c r="J26" s="220"/>
      <c r="K26" s="220"/>
      <c r="L26" s="220"/>
    </row>
    <row r="27" spans="2:13" x14ac:dyDescent="0.25">
      <c r="B27" s="2">
        <f t="shared" si="2"/>
        <v>2043</v>
      </c>
      <c r="C27" s="350">
        <v>0</v>
      </c>
      <c r="D27" s="81">
        <f t="shared" si="1"/>
        <v>0</v>
      </c>
      <c r="E27" s="84">
        <f>D27*(1+0.07)^-($B27-'Global Assumptions'!$C$6)</f>
        <v>0</v>
      </c>
      <c r="G27" s="317">
        <v>2010</v>
      </c>
      <c r="H27" s="345">
        <v>114638</v>
      </c>
    </row>
    <row r="28" spans="2:13" x14ac:dyDescent="0.25">
      <c r="B28" s="2">
        <f t="shared" si="2"/>
        <v>2044</v>
      </c>
      <c r="C28" s="350">
        <f>IF($B28&gt;'B_Roadway Improvements_Costs'!$I$11,0,#REF!*#REF!*#REF!)</f>
        <v>0</v>
      </c>
      <c r="D28" s="81">
        <f t="shared" si="1"/>
        <v>0</v>
      </c>
      <c r="E28" s="84">
        <f>D28*(1+0.07)^-($B28-'Global Assumptions'!$C$6)</f>
        <v>0</v>
      </c>
      <c r="G28" s="94" t="s">
        <v>301</v>
      </c>
      <c r="H28" s="331">
        <f>(H27-H26)/H26/10</f>
        <v>7.0182972367438378E-3</v>
      </c>
    </row>
    <row r="29" spans="2:13" x14ac:dyDescent="0.25">
      <c r="B29" s="2">
        <f t="shared" si="2"/>
        <v>2045</v>
      </c>
      <c r="C29" s="350">
        <f>IF($B29&gt;'B_Roadway Improvements_Costs'!$I$11,0,#REF!*#REF!*#REF!)</f>
        <v>0</v>
      </c>
      <c r="D29" s="81">
        <f t="shared" si="1"/>
        <v>0</v>
      </c>
      <c r="E29" s="84">
        <f>D29*(1+0.07)^-($B29-'Global Assumptions'!$C$6)</f>
        <v>0</v>
      </c>
      <c r="G29" s="18" t="s">
        <v>359</v>
      </c>
      <c r="H29" s="159" t="s">
        <v>360</v>
      </c>
    </row>
    <row r="30" spans="2:13" x14ac:dyDescent="0.25">
      <c r="B30" s="2">
        <f t="shared" si="2"/>
        <v>2046</v>
      </c>
      <c r="C30" s="350">
        <f>IF($B30&gt;'B_Roadway Improvements_Costs'!$I$11,0,#REF!*#REF!*#REF!)</f>
        <v>0</v>
      </c>
      <c r="D30" s="81">
        <f t="shared" si="1"/>
        <v>0</v>
      </c>
      <c r="E30" s="84">
        <f>D30*(1+0.07)^-($B30-'Global Assumptions'!$C$6)</f>
        <v>0</v>
      </c>
    </row>
    <row r="31" spans="2:13" ht="14.25" customHeight="1" x14ac:dyDescent="0.25">
      <c r="B31" s="2">
        <f t="shared" si="2"/>
        <v>2047</v>
      </c>
      <c r="C31" s="350">
        <f>IF($B31&gt;'B_Roadway Improvements_Costs'!$I$11,0,#REF!*#REF!*#REF!)</f>
        <v>0</v>
      </c>
      <c r="D31" s="81">
        <f t="shared" si="1"/>
        <v>0</v>
      </c>
      <c r="E31" s="84">
        <f>D31*(1+0.07)^-($B31-'Global Assumptions'!$C$6)</f>
        <v>0</v>
      </c>
    </row>
    <row r="32" spans="2:13" x14ac:dyDescent="0.25">
      <c r="B32" s="2">
        <f t="shared" si="2"/>
        <v>2048</v>
      </c>
      <c r="C32" s="350">
        <f>IF($B32&gt;'B_Roadway Improvements_Costs'!$I$11,0,#REF!*#REF!*#REF!)</f>
        <v>0</v>
      </c>
      <c r="D32" s="81">
        <f t="shared" si="1"/>
        <v>0</v>
      </c>
      <c r="E32" s="84">
        <f>D32*(1+0.07)^-($B32-'Global Assumptions'!$C$6)</f>
        <v>0</v>
      </c>
      <c r="G32" s="218" t="s">
        <v>358</v>
      </c>
      <c r="H32" s="220"/>
      <c r="I32" s="220"/>
    </row>
    <row r="33" spans="1:9" x14ac:dyDescent="0.25">
      <c r="B33" s="2">
        <f t="shared" si="2"/>
        <v>2049</v>
      </c>
      <c r="C33" s="350">
        <f>IF($B33&gt;'B_Roadway Improvements_Costs'!$I$11,0,#REF!*#REF!*#REF!)</f>
        <v>0</v>
      </c>
      <c r="D33" s="81">
        <f t="shared" si="1"/>
        <v>0</v>
      </c>
      <c r="E33" s="84">
        <f>D33*(1+0.07)^-($B33-'Global Assumptions'!$C$6)</f>
        <v>0</v>
      </c>
      <c r="G33" s="228" t="s">
        <v>46</v>
      </c>
      <c r="H33" s="293" t="s">
        <v>187</v>
      </c>
      <c r="I33" s="228" t="s">
        <v>28</v>
      </c>
    </row>
    <row r="34" spans="1:9" x14ac:dyDescent="0.25">
      <c r="B34" s="2">
        <f t="shared" si="2"/>
        <v>2050</v>
      </c>
      <c r="C34" s="350">
        <f>IF($B34&gt;'B_Roadway Improvements_Costs'!$I$11,0,#REF!*#REF!*#REF!)</f>
        <v>0</v>
      </c>
      <c r="D34" s="81">
        <f t="shared" si="1"/>
        <v>0</v>
      </c>
      <c r="E34" s="84">
        <f>D34*(1+0.07)^-($B34-'Global Assumptions'!$C$6)</f>
        <v>0</v>
      </c>
      <c r="G34" s="261">
        <v>2019</v>
      </c>
      <c r="H34" s="352">
        <f>SUMPRODUCT($H$9:$L$9,$H$14:$L$14)/5</f>
        <v>522420</v>
      </c>
      <c r="I34" s="352">
        <f>SUMPRODUCT($H$9:$L$9,$H$14:$L$14,$H$19:$L$19)/5</f>
        <v>417936</v>
      </c>
    </row>
    <row r="35" spans="1:9" x14ac:dyDescent="0.25">
      <c r="B35" s="2">
        <f t="shared" si="2"/>
        <v>2051</v>
      </c>
      <c r="C35" s="350">
        <f>IF($B35&gt;'B_Roadway Improvements_Costs'!$I$11,0,#REF!*#REF!*#REF!)</f>
        <v>0</v>
      </c>
      <c r="D35" s="81">
        <f t="shared" si="1"/>
        <v>0</v>
      </c>
      <c r="E35" s="84">
        <f>D35*(1+0.07)^-($B35-'Global Assumptions'!$C$6)</f>
        <v>0</v>
      </c>
      <c r="G35" s="261">
        <v>2040</v>
      </c>
      <c r="H35" s="352">
        <f>H34+(G35-G34)*H28*H34</f>
        <v>599416.47569081397</v>
      </c>
      <c r="I35" s="352">
        <f>I34+(G35-G34)*H28*I34</f>
        <v>479533.18055265123</v>
      </c>
    </row>
    <row r="36" spans="1:9" ht="15" customHeight="1" thickBot="1" x14ac:dyDescent="0.3">
      <c r="B36" s="3">
        <f t="shared" si="2"/>
        <v>2052</v>
      </c>
      <c r="C36" s="351">
        <f>IF($B36&gt;'B_Roadway Improvements_Costs'!$I$11,0,#REF!*#REF!*#REF!)</f>
        <v>0</v>
      </c>
      <c r="D36" s="91">
        <f t="shared" si="1"/>
        <v>0</v>
      </c>
      <c r="E36" s="85">
        <f>D36*(1+0.07)^-($B36-'Global Assumptions'!$C$6)</f>
        <v>0</v>
      </c>
    </row>
    <row r="37" spans="1:9" ht="15" customHeight="1" thickBot="1" x14ac:dyDescent="0.3">
      <c r="B37" s="4"/>
      <c r="C37" s="51"/>
      <c r="D37" s="125" t="s">
        <v>2</v>
      </c>
      <c r="E37" s="86">
        <f>SUM(E7:E36)</f>
        <v>981750.67461604963</v>
      </c>
    </row>
    <row r="38" spans="1:9" ht="15" customHeight="1" x14ac:dyDescent="0.25"/>
    <row r="39" spans="1:9" x14ac:dyDescent="0.25">
      <c r="B39" s="15" t="s">
        <v>3</v>
      </c>
      <c r="E39" s="19"/>
    </row>
    <row r="40" spans="1:9" ht="15" customHeight="1" x14ac:dyDescent="0.25">
      <c r="A40" s="152" t="s">
        <v>24</v>
      </c>
      <c r="B40" s="367" t="s">
        <v>356</v>
      </c>
      <c r="C40" s="367"/>
      <c r="D40" s="367"/>
      <c r="E40" s="367"/>
    </row>
    <row r="41" spans="1:9" ht="15" customHeight="1" x14ac:dyDescent="0.25">
      <c r="B41" s="367"/>
      <c r="C41" s="367"/>
      <c r="D41" s="367"/>
      <c r="E41" s="367"/>
      <c r="G41" s="186"/>
    </row>
    <row r="42" spans="1:9" ht="15" customHeight="1" x14ac:dyDescent="0.25">
      <c r="B42" s="367"/>
      <c r="C42" s="367"/>
      <c r="D42" s="367"/>
      <c r="E42" s="367"/>
      <c r="H42" s="103"/>
    </row>
    <row r="43" spans="1:9" ht="15" customHeight="1" x14ac:dyDescent="0.25">
      <c r="B43" s="367"/>
      <c r="C43" s="367"/>
      <c r="D43" s="367"/>
      <c r="E43" s="367"/>
      <c r="G43" s="155"/>
      <c r="H43" s="103"/>
    </row>
    <row r="44" spans="1:9" ht="15" customHeight="1" x14ac:dyDescent="0.25">
      <c r="B44" s="367"/>
      <c r="C44" s="367"/>
      <c r="D44" s="367"/>
      <c r="E44" s="367"/>
    </row>
    <row r="45" spans="1:9" x14ac:dyDescent="0.25">
      <c r="B45" s="367"/>
      <c r="C45" s="367"/>
      <c r="D45" s="367"/>
      <c r="E45" s="367"/>
      <c r="F45" s="187"/>
    </row>
    <row r="46" spans="1:9" x14ac:dyDescent="0.25">
      <c r="B46" s="367"/>
      <c r="C46" s="367"/>
      <c r="D46" s="367"/>
      <c r="E46" s="367"/>
      <c r="F46" s="187"/>
    </row>
    <row r="47" spans="1:9" x14ac:dyDescent="0.25">
      <c r="B47" s="367"/>
      <c r="C47" s="367"/>
      <c r="D47" s="367"/>
      <c r="E47" s="367"/>
      <c r="F47" s="187"/>
    </row>
    <row r="48" spans="1:9" x14ac:dyDescent="0.25">
      <c r="B48" s="367"/>
      <c r="C48" s="367"/>
      <c r="D48" s="367"/>
      <c r="E48" s="367"/>
      <c r="F48" s="187"/>
    </row>
    <row r="49" spans="1:8" x14ac:dyDescent="0.25">
      <c r="B49" s="19"/>
      <c r="C49" s="19"/>
      <c r="D49" s="19"/>
      <c r="E49" s="19"/>
      <c r="F49" s="187"/>
    </row>
    <row r="50" spans="1:8" x14ac:dyDescent="0.25">
      <c r="A50" s="152" t="s">
        <v>23</v>
      </c>
      <c r="B50" s="367" t="s">
        <v>357</v>
      </c>
      <c r="C50" s="367"/>
      <c r="D50" s="367"/>
      <c r="E50" s="367"/>
      <c r="F50" s="187"/>
    </row>
    <row r="51" spans="1:8" x14ac:dyDescent="0.25">
      <c r="A51" s="152"/>
      <c r="B51" s="367"/>
      <c r="C51" s="367"/>
      <c r="D51" s="367"/>
      <c r="E51" s="367"/>
      <c r="F51" s="187"/>
    </row>
    <row r="52" spans="1:8" x14ac:dyDescent="0.25">
      <c r="A52" s="152"/>
      <c r="B52" s="367"/>
      <c r="C52" s="367"/>
      <c r="D52" s="367"/>
      <c r="E52" s="367"/>
      <c r="F52" s="187"/>
    </row>
    <row r="53" spans="1:8" x14ac:dyDescent="0.25">
      <c r="A53" s="152"/>
      <c r="B53" s="19"/>
      <c r="C53" s="19"/>
      <c r="D53" s="19"/>
      <c r="E53" s="19"/>
      <c r="F53" s="187"/>
    </row>
    <row r="54" spans="1:8" ht="15" customHeight="1" x14ac:dyDescent="0.25">
      <c r="A54" s="152"/>
      <c r="B54" s="19"/>
      <c r="C54" s="19"/>
      <c r="D54" s="19"/>
      <c r="E54" s="19"/>
      <c r="F54" s="187"/>
    </row>
    <row r="55" spans="1:8" x14ac:dyDescent="0.25">
      <c r="A55" s="152"/>
      <c r="B55" s="19"/>
      <c r="C55" s="19"/>
      <c r="D55" s="19"/>
      <c r="E55" s="19"/>
      <c r="F55" s="187"/>
    </row>
    <row r="56" spans="1:8" x14ac:dyDescent="0.25">
      <c r="A56" s="152"/>
      <c r="B56" s="19"/>
      <c r="C56" s="19"/>
      <c r="D56" s="19"/>
      <c r="E56" s="19"/>
      <c r="F56" s="187"/>
    </row>
    <row r="57" spans="1:8" x14ac:dyDescent="0.25">
      <c r="A57" s="152"/>
      <c r="B57" s="19"/>
      <c r="C57" s="19"/>
      <c r="D57" s="19"/>
      <c r="E57" s="19"/>
      <c r="F57" s="187"/>
    </row>
    <row r="58" spans="1:8" x14ac:dyDescent="0.25">
      <c r="A58" s="152"/>
      <c r="B58" s="19"/>
      <c r="C58" s="19"/>
      <c r="D58" s="19"/>
      <c r="E58" s="19"/>
      <c r="F58" s="187"/>
    </row>
    <row r="59" spans="1:8" x14ac:dyDescent="0.25">
      <c r="A59" s="152"/>
      <c r="B59" s="19"/>
      <c r="C59" s="19"/>
      <c r="D59" s="19"/>
      <c r="E59" s="19"/>
      <c r="F59" s="187"/>
      <c r="G59" s="53"/>
      <c r="H59" s="47"/>
    </row>
    <row r="60" spans="1:8" x14ac:dyDescent="0.25">
      <c r="B60" s="19"/>
      <c r="C60" s="19"/>
      <c r="D60" s="19"/>
      <c r="E60" s="19"/>
      <c r="F60" s="187"/>
      <c r="G60" s="53"/>
      <c r="H60" s="47"/>
    </row>
    <row r="61" spans="1:8" x14ac:dyDescent="0.25">
      <c r="B61" s="19"/>
      <c r="C61" s="19"/>
      <c r="D61" s="19"/>
      <c r="E61" s="19"/>
      <c r="F61" s="187"/>
      <c r="G61" s="53"/>
      <c r="H61" s="47"/>
    </row>
    <row r="62" spans="1:8" x14ac:dyDescent="0.25">
      <c r="B62" s="19"/>
      <c r="C62" s="19"/>
      <c r="D62" s="19"/>
      <c r="E62" s="19"/>
      <c r="F62" s="187"/>
      <c r="G62" s="53"/>
      <c r="H62" s="47"/>
    </row>
    <row r="63" spans="1:8" x14ac:dyDescent="0.25">
      <c r="B63" s="19"/>
      <c r="C63" s="19"/>
      <c r="D63" s="19"/>
      <c r="E63" s="19"/>
      <c r="F63" s="187"/>
      <c r="G63" s="53"/>
      <c r="H63" s="47"/>
    </row>
    <row r="64" spans="1:8" x14ac:dyDescent="0.25">
      <c r="B64" s="19"/>
      <c r="C64" s="19"/>
      <c r="D64" s="19"/>
      <c r="E64" s="19"/>
      <c r="F64" s="187"/>
      <c r="G64" s="53"/>
      <c r="H64" s="47"/>
    </row>
    <row r="65" spans="1:8" x14ac:dyDescent="0.25">
      <c r="B65" s="19"/>
      <c r="C65" s="19"/>
      <c r="D65" s="19"/>
      <c r="E65" s="19"/>
      <c r="F65" s="187"/>
      <c r="G65" s="53"/>
      <c r="H65" s="47"/>
    </row>
    <row r="66" spans="1:8" x14ac:dyDescent="0.25">
      <c r="B66" s="19"/>
      <c r="C66" s="19"/>
      <c r="D66" s="19"/>
      <c r="E66" s="19"/>
      <c r="F66" s="187"/>
      <c r="G66" s="53"/>
      <c r="H66" s="47"/>
    </row>
    <row r="67" spans="1:8" x14ac:dyDescent="0.25">
      <c r="B67" s="19"/>
      <c r="C67" s="19"/>
      <c r="D67" s="19"/>
      <c r="E67" s="19"/>
      <c r="F67" s="187"/>
      <c r="G67" s="53"/>
      <c r="H67" s="47"/>
    </row>
    <row r="68" spans="1:8" x14ac:dyDescent="0.25">
      <c r="B68" s="19"/>
      <c r="C68" s="19"/>
      <c r="D68" s="19"/>
      <c r="E68" s="19"/>
      <c r="F68" s="187"/>
      <c r="G68" s="53"/>
      <c r="H68" s="47"/>
    </row>
    <row r="69" spans="1:8" x14ac:dyDescent="0.25">
      <c r="B69" s="19"/>
      <c r="C69" s="19"/>
      <c r="D69" s="19"/>
      <c r="E69" s="19"/>
      <c r="F69" s="187"/>
      <c r="G69" s="53"/>
      <c r="H69" s="47"/>
    </row>
    <row r="70" spans="1:8" ht="15" customHeight="1" x14ac:dyDescent="0.25">
      <c r="B70" s="19"/>
      <c r="C70" s="19"/>
      <c r="D70" s="19"/>
      <c r="E70" s="19"/>
      <c r="F70" s="187"/>
      <c r="G70" s="21"/>
      <c r="H70" s="47"/>
    </row>
    <row r="71" spans="1:8" ht="15" customHeight="1" x14ac:dyDescent="0.25">
      <c r="A71" s="152"/>
      <c r="B71" s="19"/>
      <c r="C71" s="19"/>
      <c r="D71" s="19"/>
      <c r="E71" s="19"/>
      <c r="F71" s="187"/>
      <c r="G71" s="187"/>
      <c r="H71" s="21"/>
    </row>
    <row r="72" spans="1:8" ht="15" customHeight="1" x14ac:dyDescent="0.25">
      <c r="B72" s="19"/>
      <c r="C72" s="19"/>
      <c r="D72" s="19"/>
      <c r="E72" s="19"/>
      <c r="F72" s="187"/>
      <c r="G72" s="187"/>
    </row>
    <row r="73" spans="1:8" ht="15" customHeight="1" x14ac:dyDescent="0.25">
      <c r="B73" s="19"/>
      <c r="C73" s="19"/>
      <c r="D73" s="19"/>
      <c r="E73" s="19"/>
      <c r="F73" s="187"/>
      <c r="G73" s="187"/>
    </row>
    <row r="74" spans="1:8" x14ac:dyDescent="0.25">
      <c r="A74" s="152"/>
      <c r="B74" s="19"/>
      <c r="C74" s="19"/>
      <c r="D74" s="19"/>
      <c r="E74" s="19"/>
      <c r="F74" s="187"/>
    </row>
    <row r="75" spans="1:8" x14ac:dyDescent="0.25">
      <c r="A75" s="152"/>
      <c r="B75" s="19"/>
      <c r="C75" s="19"/>
      <c r="D75" s="19"/>
      <c r="E75" s="19"/>
      <c r="F75" s="14"/>
    </row>
    <row r="76" spans="1:8" x14ac:dyDescent="0.25">
      <c r="A76" s="152"/>
      <c r="B76" s="19"/>
      <c r="C76" s="19"/>
      <c r="D76" s="19"/>
      <c r="E76" s="19"/>
      <c r="F76" s="14"/>
    </row>
    <row r="77" spans="1:8" x14ac:dyDescent="0.25">
      <c r="F77" s="187"/>
    </row>
    <row r="78" spans="1:8" x14ac:dyDescent="0.25">
      <c r="F78" s="187"/>
    </row>
    <row r="79" spans="1:8" x14ac:dyDescent="0.25">
      <c r="F79" s="187"/>
    </row>
  </sheetData>
  <mergeCells count="6">
    <mergeCell ref="B50:E52"/>
    <mergeCell ref="B40:E48"/>
    <mergeCell ref="E5:E6"/>
    <mergeCell ref="B5:B6"/>
    <mergeCell ref="C5:C6"/>
    <mergeCell ref="D5:D6"/>
  </mergeCells>
  <hyperlinks>
    <hyperlink ref="H20" r:id="rId1" xr:uid="{1E680540-E96C-48BE-A9FC-CF784DFF84DB}"/>
    <hyperlink ref="H29" r:id="rId2" xr:uid="{7B6FF286-5784-4EEE-AA98-0C8AF9ECA882}"/>
  </hyperlinks>
  <pageMargins left="0.25" right="0.25" top="0.75" bottom="0.75" header="0.3" footer="0.3"/>
  <pageSetup paperSize="119" scale="59" orientation="landscap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53860-407A-4700-B663-6ACB6D702E1E}">
  <sheetPr>
    <tabColor rgb="FFC00000"/>
    <pageSetUpPr fitToPage="1"/>
  </sheetPr>
  <dimension ref="A2:M63"/>
  <sheetViews>
    <sheetView view="pageBreakPreview" zoomScale="85" zoomScaleNormal="85" zoomScaleSheetLayoutView="85" workbookViewId="0">
      <selection activeCell="G7" sqref="G7"/>
    </sheetView>
  </sheetViews>
  <sheetFormatPr defaultRowHeight="15" x14ac:dyDescent="0.25"/>
  <cols>
    <col min="1" max="1" width="5.140625" style="220" customWidth="1"/>
    <col min="2" max="7" width="15.7109375" style="220" customWidth="1"/>
    <col min="8" max="8" width="27.85546875" style="220" customWidth="1"/>
    <col min="9" max="10" width="21.140625" style="220" customWidth="1"/>
    <col min="11" max="11" width="16" style="220" customWidth="1"/>
    <col min="12" max="12" width="20.5703125" style="220" customWidth="1"/>
    <col min="13" max="13" width="16" style="220" customWidth="1"/>
    <col min="14" max="14" width="13.140625" style="220" customWidth="1"/>
    <col min="15" max="16384" width="9.140625" style="220"/>
  </cols>
  <sheetData>
    <row r="2" spans="2:13" x14ac:dyDescent="0.25">
      <c r="B2" s="151" t="s">
        <v>51</v>
      </c>
    </row>
    <row r="3" spans="2:13" ht="15.75" customHeight="1" x14ac:dyDescent="0.25">
      <c r="C3" s="123"/>
      <c r="D3" s="123"/>
      <c r="E3" s="123"/>
      <c r="F3" s="123"/>
    </row>
    <row r="4" spans="2:13" ht="15.75" thickBot="1" x14ac:dyDescent="0.3">
      <c r="C4" s="108"/>
      <c r="D4" s="108"/>
      <c r="E4" s="108"/>
      <c r="F4" s="108"/>
    </row>
    <row r="5" spans="2:13" ht="15.75" customHeight="1" x14ac:dyDescent="0.25">
      <c r="B5" s="380" t="s">
        <v>0</v>
      </c>
      <c r="C5" s="382" t="s">
        <v>26</v>
      </c>
      <c r="D5" s="384" t="s">
        <v>1</v>
      </c>
      <c r="E5" s="386" t="s">
        <v>47</v>
      </c>
      <c r="F5" s="370" t="s">
        <v>48</v>
      </c>
      <c r="H5" s="151" t="s">
        <v>32</v>
      </c>
    </row>
    <row r="6" spans="2:13" ht="15.75" customHeight="1" thickBot="1" x14ac:dyDescent="0.3">
      <c r="B6" s="381"/>
      <c r="C6" s="383"/>
      <c r="D6" s="385"/>
      <c r="E6" s="387"/>
      <c r="F6" s="371"/>
      <c r="I6" s="139" t="s">
        <v>54</v>
      </c>
      <c r="J6" s="104"/>
      <c r="M6" s="103"/>
    </row>
    <row r="7" spans="2:13" ht="15.75" customHeight="1" x14ac:dyDescent="0.25">
      <c r="B7" s="302">
        <f>'Global Assumptions'!$C$6</f>
        <v>2019</v>
      </c>
      <c r="C7" s="308">
        <f t="shared" ref="C7:C44" si="0">IF(AND($B7&gt;=$I$7,$B7&lt;$I$7+$I$8),($J$21)/$I$8,0)</f>
        <v>0</v>
      </c>
      <c r="D7" s="303">
        <f>C7*(1+0.07)^-($B7-'Global Assumptions'!$C$6)</f>
        <v>0</v>
      </c>
      <c r="E7" s="309">
        <f>IF($B7=$I$11,'F_Copeland Sidewalk_Costs'!$J$31,0)</f>
        <v>0</v>
      </c>
      <c r="F7" s="303">
        <f>E7*(1+0.07)^-($B7-'Global Assumptions'!$C$6)</f>
        <v>0</v>
      </c>
      <c r="H7" s="153" t="s">
        <v>33</v>
      </c>
      <c r="I7" s="95">
        <v>2022</v>
      </c>
      <c r="J7" s="9"/>
      <c r="M7" s="103"/>
    </row>
    <row r="8" spans="2:13" ht="15.75" customHeight="1" x14ac:dyDescent="0.25">
      <c r="B8" s="106">
        <f>B7+1</f>
        <v>2020</v>
      </c>
      <c r="C8" s="304">
        <f t="shared" si="0"/>
        <v>0</v>
      </c>
      <c r="D8" s="305">
        <f>C8*(1+0.07)^-($B8-'Global Assumptions'!$C$6)</f>
        <v>0</v>
      </c>
      <c r="E8" s="310">
        <f>IF($B8=$I$11,'F_Copeland Sidewalk_Costs'!$J$31,0)</f>
        <v>0</v>
      </c>
      <c r="F8" s="305">
        <f>E8*(1+0.07)^-($B8-'Global Assumptions'!$C$6)</f>
        <v>0</v>
      </c>
      <c r="H8" s="153" t="s">
        <v>31</v>
      </c>
      <c r="I8" s="95">
        <v>1</v>
      </c>
      <c r="J8" s="105"/>
      <c r="M8" s="103"/>
    </row>
    <row r="9" spans="2:13" ht="15.75" customHeight="1" x14ac:dyDescent="0.25">
      <c r="B9" s="106">
        <f t="shared" ref="B9:B44" si="1">B8+1</f>
        <v>2021</v>
      </c>
      <c r="C9" s="306">
        <f t="shared" si="0"/>
        <v>0</v>
      </c>
      <c r="D9" s="71">
        <f>C9*(1+0.07)^-($B9-'Global Assumptions'!$C$6)</f>
        <v>0</v>
      </c>
      <c r="E9" s="301">
        <f>IF($B9=$I$11,'F_Copeland Sidewalk_Costs'!$J$31,0)</f>
        <v>0</v>
      </c>
      <c r="F9" s="71">
        <f>E9*(1+0.07)^-($B9-'Global Assumptions'!$C$6)</f>
        <v>0</v>
      </c>
      <c r="H9" s="64" t="s">
        <v>59</v>
      </c>
      <c r="I9" s="65">
        <v>20</v>
      </c>
      <c r="J9" s="105"/>
      <c r="M9" s="103"/>
    </row>
    <row r="10" spans="2:13" ht="15.75" customHeight="1" x14ac:dyDescent="0.25">
      <c r="B10" s="106">
        <f t="shared" si="1"/>
        <v>2022</v>
      </c>
      <c r="C10" s="306">
        <f t="shared" si="0"/>
        <v>500000</v>
      </c>
      <c r="D10" s="71">
        <f>C10*(1+0.07)^-($B10-'Global Assumptions'!$C$6)</f>
        <v>408148.93844542594</v>
      </c>
      <c r="E10" s="301">
        <f>IF($B10=$I$11,'F_Copeland Sidewalk_Costs'!$J$31,0)</f>
        <v>0</v>
      </c>
      <c r="F10" s="71">
        <f>E10*(1+0.07)^-($B10-'Global Assumptions'!$C$6)</f>
        <v>0</v>
      </c>
      <c r="H10" s="64" t="s">
        <v>53</v>
      </c>
      <c r="I10" s="65">
        <f>I7+I8</f>
        <v>2023</v>
      </c>
      <c r="M10" s="103"/>
    </row>
    <row r="11" spans="2:13" ht="15.75" customHeight="1" x14ac:dyDescent="0.25">
      <c r="B11" s="106">
        <f t="shared" si="1"/>
        <v>2023</v>
      </c>
      <c r="C11" s="306">
        <f t="shared" si="0"/>
        <v>0</v>
      </c>
      <c r="D11" s="71">
        <f>C11*(1+0.07)^-($B11-'Global Assumptions'!$C$6)</f>
        <v>0</v>
      </c>
      <c r="E11" s="301">
        <f>IF($B11=$I$11,'F_Copeland Sidewalk_Costs'!$J$31,0)</f>
        <v>0</v>
      </c>
      <c r="F11" s="71">
        <f>E11*(1+0.07)^-($B11-'Global Assumptions'!$C$6)</f>
        <v>0</v>
      </c>
      <c r="H11" s="64" t="s">
        <v>43</v>
      </c>
      <c r="I11" s="65">
        <f>I10+I9-1</f>
        <v>2042</v>
      </c>
      <c r="M11" s="103"/>
    </row>
    <row r="12" spans="2:13" ht="15.75" customHeight="1" x14ac:dyDescent="0.25">
      <c r="B12" s="106">
        <f t="shared" si="1"/>
        <v>2024</v>
      </c>
      <c r="C12" s="306">
        <f t="shared" si="0"/>
        <v>0</v>
      </c>
      <c r="D12" s="71">
        <f>C12*(1+0.07)^-($B12-'Global Assumptions'!$C$6)</f>
        <v>0</v>
      </c>
      <c r="E12" s="301">
        <f>IF($B12=$I$11,'F_Copeland Sidewalk_Costs'!$J$31,0)</f>
        <v>0</v>
      </c>
      <c r="F12" s="71">
        <f>E12*(1+0.07)^-($B12-'Global Assumptions'!$C$6)</f>
        <v>0</v>
      </c>
      <c r="H12" s="64" t="s">
        <v>75</v>
      </c>
      <c r="I12" s="65">
        <v>25</v>
      </c>
      <c r="M12" s="103"/>
    </row>
    <row r="13" spans="2:13" ht="15.75" customHeight="1" x14ac:dyDescent="0.25">
      <c r="B13" s="106">
        <f t="shared" si="1"/>
        <v>2025</v>
      </c>
      <c r="C13" s="306">
        <f t="shared" si="0"/>
        <v>0</v>
      </c>
      <c r="D13" s="71">
        <f>C13*(1+0.07)^-($B13-'Global Assumptions'!$C$6)</f>
        <v>0</v>
      </c>
      <c r="E13" s="301">
        <f>IF($B13=$I$11,'F_Copeland Sidewalk_Costs'!$J$31,0)</f>
        <v>0</v>
      </c>
      <c r="F13" s="71">
        <f>E13*(1+0.07)^-($B13-'Global Assumptions'!$C$6)</f>
        <v>0</v>
      </c>
      <c r="H13" s="129"/>
      <c r="I13" s="130"/>
      <c r="M13" s="103"/>
    </row>
    <row r="14" spans="2:13" ht="15.75" customHeight="1" x14ac:dyDescent="0.25">
      <c r="B14" s="106">
        <f t="shared" si="1"/>
        <v>2026</v>
      </c>
      <c r="C14" s="306">
        <f t="shared" si="0"/>
        <v>0</v>
      </c>
      <c r="D14" s="71">
        <f>C14*(1+0.07)^-($B14-'Global Assumptions'!$C$6)</f>
        <v>0</v>
      </c>
      <c r="E14" s="301">
        <f>IF($B14=$I$11,'F_Copeland Sidewalk_Costs'!$J$31,0)</f>
        <v>0</v>
      </c>
      <c r="F14" s="71">
        <f>E14*(1+0.07)^-($B14-'Global Assumptions'!$C$6)</f>
        <v>0</v>
      </c>
      <c r="H14" s="22" t="s">
        <v>34</v>
      </c>
      <c r="J14" s="124"/>
      <c r="K14" s="22"/>
    </row>
    <row r="15" spans="2:13" ht="15.75" customHeight="1" x14ac:dyDescent="0.25">
      <c r="B15" s="106">
        <f t="shared" si="1"/>
        <v>2027</v>
      </c>
      <c r="C15" s="306">
        <f t="shared" si="0"/>
        <v>0</v>
      </c>
      <c r="D15" s="71">
        <f>C15*(1+0.07)^-($B15-'Global Assumptions'!$C$6)</f>
        <v>0</v>
      </c>
      <c r="E15" s="301">
        <f>IF($B15=$I$11,'F_Copeland Sidewalk_Costs'!$J$31,0)</f>
        <v>0</v>
      </c>
      <c r="F15" s="71">
        <f>E15*(1+0.07)^-($B15-'Global Assumptions'!$C$6)</f>
        <v>0</v>
      </c>
      <c r="H15" s="397" t="s">
        <v>4</v>
      </c>
      <c r="I15" s="390" t="s">
        <v>5</v>
      </c>
      <c r="J15" s="393" t="s">
        <v>261</v>
      </c>
      <c r="K15" s="73"/>
    </row>
    <row r="16" spans="2:13" ht="15.75" customHeight="1" x14ac:dyDescent="0.25">
      <c r="B16" s="106">
        <f t="shared" si="1"/>
        <v>2028</v>
      </c>
      <c r="C16" s="306">
        <f t="shared" si="0"/>
        <v>0</v>
      </c>
      <c r="D16" s="71">
        <f>C16*(1+0.07)^-($B16-'Global Assumptions'!$C$6)</f>
        <v>0</v>
      </c>
      <c r="E16" s="301">
        <f>IF($B16=$I$11,'F_Copeland Sidewalk_Costs'!$J$31,0)</f>
        <v>0</v>
      </c>
      <c r="F16" s="71">
        <f>E16*(1+0.07)^-($B16-'Global Assumptions'!$C$6)</f>
        <v>0</v>
      </c>
      <c r="H16" s="398"/>
      <c r="I16" s="391"/>
      <c r="J16" s="394"/>
      <c r="K16" s="73"/>
    </row>
    <row r="17" spans="2:11" ht="15.75" customHeight="1" x14ac:dyDescent="0.25">
      <c r="B17" s="106">
        <f t="shared" si="1"/>
        <v>2029</v>
      </c>
      <c r="C17" s="306">
        <f t="shared" si="0"/>
        <v>0</v>
      </c>
      <c r="D17" s="71">
        <f>C17*(1+0.07)^-($B17-'Global Assumptions'!$C$6)</f>
        <v>0</v>
      </c>
      <c r="E17" s="301">
        <f>IF($B17=$I$11,'F_Copeland Sidewalk_Costs'!$J$31,0)</f>
        <v>0</v>
      </c>
      <c r="F17" s="71">
        <f>E17*(1+0.07)^-($B17-'Global Assumptions'!$C$6)</f>
        <v>0</v>
      </c>
      <c r="H17" s="399"/>
      <c r="I17" s="392"/>
      <c r="J17" s="395"/>
      <c r="K17" s="73"/>
    </row>
    <row r="18" spans="2:11" ht="15.75" customHeight="1" x14ac:dyDescent="0.25">
      <c r="B18" s="106">
        <f t="shared" si="1"/>
        <v>2030</v>
      </c>
      <c r="C18" s="306">
        <f t="shared" si="0"/>
        <v>0</v>
      </c>
      <c r="D18" s="71">
        <f>C18*(1+0.07)^-($B18-'Global Assumptions'!$C$6)</f>
        <v>0</v>
      </c>
      <c r="E18" s="301">
        <f>IF($B18=$I$11,'F_Copeland Sidewalk_Costs'!$J$31,0)</f>
        <v>0</v>
      </c>
      <c r="F18" s="71">
        <f>E18*(1+0.07)^-($B18-'Global Assumptions'!$C$6)</f>
        <v>0</v>
      </c>
      <c r="H18" s="153" t="s">
        <v>264</v>
      </c>
      <c r="I18" s="28">
        <v>25</v>
      </c>
      <c r="J18" s="62">
        <v>500000</v>
      </c>
      <c r="K18" s="74"/>
    </row>
    <row r="19" spans="2:11" ht="15.75" customHeight="1" x14ac:dyDescent="0.25">
      <c r="B19" s="106">
        <f t="shared" si="1"/>
        <v>2031</v>
      </c>
      <c r="C19" s="306">
        <f t="shared" si="0"/>
        <v>0</v>
      </c>
      <c r="D19" s="71">
        <f>C19*(1+0.07)^-($B19-'Global Assumptions'!$C$6)</f>
        <v>0</v>
      </c>
      <c r="E19" s="301">
        <f>IF($B19=$I$11,'F_Copeland Sidewalk_Costs'!$J$31,0)</f>
        <v>0</v>
      </c>
      <c r="F19" s="71">
        <f>E19*(1+0.07)^-($B19-'Global Assumptions'!$C$6)</f>
        <v>0</v>
      </c>
      <c r="H19" s="153"/>
      <c r="I19" s="28"/>
      <c r="J19" s="62"/>
      <c r="K19" s="74"/>
    </row>
    <row r="20" spans="2:11" ht="15.75" customHeight="1" x14ac:dyDescent="0.25">
      <c r="B20" s="106">
        <f t="shared" si="1"/>
        <v>2032</v>
      </c>
      <c r="C20" s="306">
        <f t="shared" si="0"/>
        <v>0</v>
      </c>
      <c r="D20" s="71">
        <f>C20*(1+0.07)^-($B20-'Global Assumptions'!$C$6)</f>
        <v>0</v>
      </c>
      <c r="E20" s="301">
        <f>IF($B20=$I$11,'F_Copeland Sidewalk_Costs'!$J$31,0)</f>
        <v>0</v>
      </c>
      <c r="F20" s="71">
        <f>E20*(1+0.07)^-($B20-'Global Assumptions'!$C$6)</f>
        <v>0</v>
      </c>
      <c r="H20" s="153"/>
      <c r="I20" s="28"/>
      <c r="J20" s="62"/>
      <c r="K20" s="74"/>
    </row>
    <row r="21" spans="2:11" ht="15.75" customHeight="1" x14ac:dyDescent="0.25">
      <c r="B21" s="106">
        <f t="shared" si="1"/>
        <v>2033</v>
      </c>
      <c r="C21" s="306">
        <f t="shared" si="0"/>
        <v>0</v>
      </c>
      <c r="D21" s="71">
        <f>C21*(1+0.07)^-($B21-'Global Assumptions'!$C$6)</f>
        <v>0</v>
      </c>
      <c r="E21" s="301">
        <f>IF($B21=$I$11,'F_Copeland Sidewalk_Costs'!$J$31,0)</f>
        <v>0</v>
      </c>
      <c r="F21" s="71">
        <f>E21*(1+0.07)^-($B21-'Global Assumptions'!$C$6)</f>
        <v>0</v>
      </c>
      <c r="H21" s="396" t="s">
        <v>30</v>
      </c>
      <c r="I21" s="396"/>
      <c r="J21" s="26">
        <f>SUM(J18:J20)</f>
        <v>500000</v>
      </c>
      <c r="K21" s="75"/>
    </row>
    <row r="22" spans="2:11" ht="15.75" customHeight="1" x14ac:dyDescent="0.25">
      <c r="B22" s="106">
        <f t="shared" si="1"/>
        <v>2034</v>
      </c>
      <c r="C22" s="306">
        <f t="shared" si="0"/>
        <v>0</v>
      </c>
      <c r="D22" s="71">
        <f>C22*(1+0.07)^-($B22-'Global Assumptions'!$C$6)</f>
        <v>0</v>
      </c>
      <c r="E22" s="301">
        <f>IF($B22=$I$11,'F_Copeland Sidewalk_Costs'!$J$31,0)</f>
        <v>0</v>
      </c>
      <c r="F22" s="71">
        <f>E22*(1+0.07)^-($B22-'Global Assumptions'!$C$6)</f>
        <v>0</v>
      </c>
    </row>
    <row r="23" spans="2:11" ht="15.75" customHeight="1" x14ac:dyDescent="0.25">
      <c r="B23" s="106">
        <f t="shared" si="1"/>
        <v>2035</v>
      </c>
      <c r="C23" s="306">
        <f t="shared" si="0"/>
        <v>0</v>
      </c>
      <c r="D23" s="71">
        <f>C23*(1+0.07)^-($B23-'Global Assumptions'!$C$6)</f>
        <v>0</v>
      </c>
      <c r="E23" s="301">
        <f>IF($B23=$I$11,'F_Copeland Sidewalk_Costs'!$J$31,0)</f>
        <v>0</v>
      </c>
      <c r="F23" s="71">
        <f>E23*(1+0.07)^-($B23-'Global Assumptions'!$C$6)</f>
        <v>0</v>
      </c>
    </row>
    <row r="24" spans="2:11" ht="15.75" customHeight="1" x14ac:dyDescent="0.25">
      <c r="B24" s="106">
        <f t="shared" si="1"/>
        <v>2036</v>
      </c>
      <c r="C24" s="306">
        <f t="shared" si="0"/>
        <v>0</v>
      </c>
      <c r="D24" s="71">
        <f>C24*(1+0.07)^-($B24-'Global Assumptions'!$C$6)</f>
        <v>0</v>
      </c>
      <c r="E24" s="301">
        <f>IF($B24=$I$11,'F_Copeland Sidewalk_Costs'!$J$31,0)</f>
        <v>0</v>
      </c>
      <c r="F24" s="71">
        <f>E24*(1+0.07)^-($B24-'Global Assumptions'!$C$6)</f>
        <v>0</v>
      </c>
      <c r="H24" s="151" t="s">
        <v>49</v>
      </c>
      <c r="I24" s="7"/>
      <c r="J24" s="124"/>
      <c r="K24" s="22"/>
    </row>
    <row r="25" spans="2:11" ht="15.75" customHeight="1" x14ac:dyDescent="0.25">
      <c r="B25" s="106">
        <f t="shared" si="1"/>
        <v>2037</v>
      </c>
      <c r="C25" s="306">
        <f t="shared" si="0"/>
        <v>0</v>
      </c>
      <c r="D25" s="71">
        <f>C25*(1+0.07)^-($B25-'Global Assumptions'!$C$6)</f>
        <v>0</v>
      </c>
      <c r="E25" s="301">
        <f>IF($B25=$I$11,'F_Copeland Sidewalk_Costs'!$J$31,0)</f>
        <v>0</v>
      </c>
      <c r="F25" s="71">
        <f>E25*(1+0.07)^-($B25-'Global Assumptions'!$C$6)</f>
        <v>0</v>
      </c>
      <c r="H25" s="397" t="s">
        <v>4</v>
      </c>
      <c r="I25" s="400" t="s">
        <v>21</v>
      </c>
      <c r="J25" s="400" t="s">
        <v>22</v>
      </c>
      <c r="K25" s="76"/>
    </row>
    <row r="26" spans="2:11" ht="15.75" customHeight="1" x14ac:dyDescent="0.25">
      <c r="B26" s="106">
        <f t="shared" si="1"/>
        <v>2038</v>
      </c>
      <c r="C26" s="306">
        <f t="shared" si="0"/>
        <v>0</v>
      </c>
      <c r="D26" s="71">
        <f>C26*(1+0.07)^-($B26-'Global Assumptions'!$C$6)</f>
        <v>0</v>
      </c>
      <c r="E26" s="301">
        <f>IF($B26=$I$11,'F_Copeland Sidewalk_Costs'!$J$31,0)</f>
        <v>0</v>
      </c>
      <c r="F26" s="71">
        <f>E26*(1+0.07)^-($B26-'Global Assumptions'!$C$6)</f>
        <v>0</v>
      </c>
      <c r="H26" s="398"/>
      <c r="I26" s="401"/>
      <c r="J26" s="401"/>
      <c r="K26" s="76"/>
    </row>
    <row r="27" spans="2:11" ht="15.75" customHeight="1" x14ac:dyDescent="0.25">
      <c r="B27" s="106">
        <f t="shared" si="1"/>
        <v>2039</v>
      </c>
      <c r="C27" s="306">
        <f t="shared" si="0"/>
        <v>0</v>
      </c>
      <c r="D27" s="71">
        <f>C27*(1+0.07)^-($B27-'Global Assumptions'!$C$6)</f>
        <v>0</v>
      </c>
      <c r="E27" s="301">
        <f>IF($B27=$I$11,'F_Copeland Sidewalk_Costs'!$J$31,0)</f>
        <v>0</v>
      </c>
      <c r="F27" s="71">
        <f>E27*(1+0.07)^-($B27-'Global Assumptions'!$C$6)</f>
        <v>0</v>
      </c>
      <c r="H27" s="399"/>
      <c r="I27" s="402"/>
      <c r="J27" s="402"/>
      <c r="K27" s="76"/>
    </row>
    <row r="28" spans="2:11" ht="15.75" customHeight="1" x14ac:dyDescent="0.25">
      <c r="B28" s="106">
        <f t="shared" si="1"/>
        <v>2040</v>
      </c>
      <c r="C28" s="306">
        <f t="shared" si="0"/>
        <v>0</v>
      </c>
      <c r="D28" s="71">
        <f>C28*(1+0.07)^-($B28-'Global Assumptions'!$C$6)</f>
        <v>0</v>
      </c>
      <c r="E28" s="301">
        <f>IF($B28=$I$11,'F_Copeland Sidewalk_Costs'!$J$31,0)</f>
        <v>0</v>
      </c>
      <c r="F28" s="71">
        <f>E28*(1+0.07)^-($B28-'Global Assumptions'!$C$6)</f>
        <v>0</v>
      </c>
      <c r="H28" s="153" t="s">
        <v>264</v>
      </c>
      <c r="I28" s="78">
        <v>0.35184006268551071</v>
      </c>
      <c r="J28" s="79">
        <f>$I28*J18</f>
        <v>175920.03134275536</v>
      </c>
      <c r="K28" s="77"/>
    </row>
    <row r="29" spans="2:11" ht="15.75" customHeight="1" x14ac:dyDescent="0.25">
      <c r="B29" s="106">
        <f t="shared" si="1"/>
        <v>2041</v>
      </c>
      <c r="C29" s="306">
        <f t="shared" si="0"/>
        <v>0</v>
      </c>
      <c r="D29" s="71">
        <f>C29*(1+0.07)^-($B29-'Global Assumptions'!$C$6)</f>
        <v>0</v>
      </c>
      <c r="E29" s="301">
        <f>IF($B29=$I$11,'F_Copeland Sidewalk_Costs'!$J$31,0)</f>
        <v>0</v>
      </c>
      <c r="F29" s="71">
        <f>E29*(1+0.07)^-($B29-'Global Assumptions'!$C$6)</f>
        <v>0</v>
      </c>
      <c r="H29" s="153"/>
      <c r="I29" s="78"/>
      <c r="J29" s="79"/>
      <c r="K29" s="77"/>
    </row>
    <row r="30" spans="2:11" ht="15.75" customHeight="1" x14ac:dyDescent="0.25">
      <c r="B30" s="106">
        <f t="shared" si="1"/>
        <v>2042</v>
      </c>
      <c r="C30" s="306">
        <f t="shared" si="0"/>
        <v>0</v>
      </c>
      <c r="D30" s="71">
        <f>C30*(1+0.07)^-($B30-'Global Assumptions'!$C$6)</f>
        <v>0</v>
      </c>
      <c r="E30" s="301">
        <f>IF($B30=$I$11,'F_Copeland Sidewalk_Costs'!$J$31,0)</f>
        <v>175920.03134275536</v>
      </c>
      <c r="F30" s="71">
        <f>E30*(1+0.07)^-($B30-'Global Assumptions'!$C$6)</f>
        <v>37109.782329746275</v>
      </c>
      <c r="H30" s="153"/>
      <c r="I30" s="78"/>
      <c r="J30" s="79"/>
      <c r="K30" s="77"/>
    </row>
    <row r="31" spans="2:11" ht="15.75" customHeight="1" x14ac:dyDescent="0.25">
      <c r="B31" s="106">
        <f t="shared" si="1"/>
        <v>2043</v>
      </c>
      <c r="C31" s="306">
        <f t="shared" si="0"/>
        <v>0</v>
      </c>
      <c r="D31" s="71">
        <f>C31*(1+0.07)^-($B31-'Global Assumptions'!$C$6)</f>
        <v>0</v>
      </c>
      <c r="E31" s="301">
        <f>IF($B31=$I$11,'F_Copeland Sidewalk_Costs'!$J$31,0)</f>
        <v>0</v>
      </c>
      <c r="F31" s="71">
        <f>E31*(1+0.07)^-($B31-'Global Assumptions'!$C$6)</f>
        <v>0</v>
      </c>
      <c r="H31" s="388" t="s">
        <v>27</v>
      </c>
      <c r="I31" s="389"/>
      <c r="J31" s="27">
        <f>SUM(J28:J30)</f>
        <v>175920.03134275536</v>
      </c>
      <c r="K31" s="75"/>
    </row>
    <row r="32" spans="2:11" ht="15.75" customHeight="1" x14ac:dyDescent="0.25">
      <c r="B32" s="106">
        <f t="shared" si="1"/>
        <v>2044</v>
      </c>
      <c r="C32" s="306">
        <f t="shared" si="0"/>
        <v>0</v>
      </c>
      <c r="D32" s="71">
        <f>C32*(1+0.07)^-($B32-'Global Assumptions'!$C$6)</f>
        <v>0</v>
      </c>
      <c r="E32" s="301">
        <f>IF($B32=$I$11,'F_Copeland Sidewalk_Costs'!$J$31,0)</f>
        <v>0</v>
      </c>
      <c r="F32" s="71">
        <f>E32*(1+0.07)^-($B32-'Global Assumptions'!$C$6)</f>
        <v>0</v>
      </c>
    </row>
    <row r="33" spans="1:9" ht="15.75" customHeight="1" x14ac:dyDescent="0.25">
      <c r="B33" s="106">
        <f t="shared" si="1"/>
        <v>2045</v>
      </c>
      <c r="C33" s="306">
        <f t="shared" si="0"/>
        <v>0</v>
      </c>
      <c r="D33" s="71">
        <f>C33*(1+0.07)^-($B33-'Global Assumptions'!$C$6)</f>
        <v>0</v>
      </c>
      <c r="E33" s="301">
        <f>IF($B33=$I$11,'F_Copeland Sidewalk_Costs'!$J$31,0)</f>
        <v>0</v>
      </c>
      <c r="F33" s="71">
        <f>E33*(1+0.07)^-($B33-'Global Assumptions'!$C$6)</f>
        <v>0</v>
      </c>
    </row>
    <row r="34" spans="1:9" ht="15.75" customHeight="1" x14ac:dyDescent="0.25">
      <c r="B34" s="106">
        <f t="shared" si="1"/>
        <v>2046</v>
      </c>
      <c r="C34" s="306">
        <f t="shared" si="0"/>
        <v>0</v>
      </c>
      <c r="D34" s="71">
        <f>C34*(1+0.07)^-($B34-'Global Assumptions'!$C$6)</f>
        <v>0</v>
      </c>
      <c r="E34" s="301">
        <f>IF($B34=$I$11,'F_Copeland Sidewalk_Costs'!$J$31,0)</f>
        <v>0</v>
      </c>
      <c r="F34" s="71">
        <f>E34*(1+0.07)^-($B34-'Global Assumptions'!$C$6)</f>
        <v>0</v>
      </c>
    </row>
    <row r="35" spans="1:9" ht="15.75" customHeight="1" x14ac:dyDescent="0.25">
      <c r="B35" s="106">
        <f t="shared" si="1"/>
        <v>2047</v>
      </c>
      <c r="C35" s="306">
        <f t="shared" si="0"/>
        <v>0</v>
      </c>
      <c r="D35" s="71">
        <f>C35*(1+0.07)^-($B35-'Global Assumptions'!$C$6)</f>
        <v>0</v>
      </c>
      <c r="E35" s="301">
        <f>IF($B35=$I$11,'F_Copeland Sidewalk_Costs'!$J$31,0)</f>
        <v>0</v>
      </c>
      <c r="F35" s="71">
        <f>E35*(1+0.07)^-($B35-'Global Assumptions'!$C$6)</f>
        <v>0</v>
      </c>
    </row>
    <row r="36" spans="1:9" ht="15.75" customHeight="1" x14ac:dyDescent="0.25">
      <c r="B36" s="106">
        <f t="shared" si="1"/>
        <v>2048</v>
      </c>
      <c r="C36" s="306">
        <f t="shared" si="0"/>
        <v>0</v>
      </c>
      <c r="D36" s="71">
        <f>C36*(1+0.07)^-($B36-'Global Assumptions'!$C$6)</f>
        <v>0</v>
      </c>
      <c r="E36" s="301">
        <f>IF($B36=$I$11,'F_Copeland Sidewalk_Costs'!$J$31,0)</f>
        <v>0</v>
      </c>
      <c r="F36" s="71">
        <f>E36*(1+0.07)^-($B36-'Global Assumptions'!$C$6)</f>
        <v>0</v>
      </c>
    </row>
    <row r="37" spans="1:9" ht="15.75" customHeight="1" x14ac:dyDescent="0.25">
      <c r="B37" s="106">
        <f t="shared" si="1"/>
        <v>2049</v>
      </c>
      <c r="C37" s="306">
        <f t="shared" si="0"/>
        <v>0</v>
      </c>
      <c r="D37" s="71">
        <f>C37*(1+0.07)^-($B37-'Global Assumptions'!$C$6)</f>
        <v>0</v>
      </c>
      <c r="E37" s="301">
        <f>IF($B37=$I$11,'F_Copeland Sidewalk_Costs'!$J$31,0)</f>
        <v>0</v>
      </c>
      <c r="F37" s="71">
        <f>E37*(1+0.07)^-($B37-'Global Assumptions'!$C$6)</f>
        <v>0</v>
      </c>
    </row>
    <row r="38" spans="1:9" ht="15.75" customHeight="1" x14ac:dyDescent="0.25">
      <c r="B38" s="106">
        <f t="shared" si="1"/>
        <v>2050</v>
      </c>
      <c r="C38" s="306">
        <f t="shared" si="0"/>
        <v>0</v>
      </c>
      <c r="D38" s="71">
        <f>C38*(1+0.07)^-($B38-'Global Assumptions'!$C$6)</f>
        <v>0</v>
      </c>
      <c r="E38" s="301">
        <f>IF($B38=$I$11,'F_Copeland Sidewalk_Costs'!$J$31,0)</f>
        <v>0</v>
      </c>
      <c r="F38" s="71">
        <f>E38*(1+0.07)^-($B38-'Global Assumptions'!$C$6)</f>
        <v>0</v>
      </c>
    </row>
    <row r="39" spans="1:9" ht="15.75" customHeight="1" x14ac:dyDescent="0.25">
      <c r="B39" s="106">
        <f t="shared" si="1"/>
        <v>2051</v>
      </c>
      <c r="C39" s="306">
        <f t="shared" si="0"/>
        <v>0</v>
      </c>
      <c r="D39" s="71">
        <f>C39*(1+0.07)^-($B39-'Global Assumptions'!$C$6)</f>
        <v>0</v>
      </c>
      <c r="E39" s="301">
        <f>IF($B39=$I$11,'F_Copeland Sidewalk_Costs'!$J$31,0)</f>
        <v>0</v>
      </c>
      <c r="F39" s="71">
        <f>E39*(1+0.07)^-($B39-'Global Assumptions'!$C$6)</f>
        <v>0</v>
      </c>
      <c r="G39" s="14"/>
    </row>
    <row r="40" spans="1:9" ht="15.75" customHeight="1" x14ac:dyDescent="0.25">
      <c r="B40" s="106">
        <f t="shared" si="1"/>
        <v>2052</v>
      </c>
      <c r="C40" s="306">
        <f t="shared" si="0"/>
        <v>0</v>
      </c>
      <c r="D40" s="71">
        <f>C40*(1+0.07)^-($B40-'Global Assumptions'!$C$6)</f>
        <v>0</v>
      </c>
      <c r="E40" s="301">
        <f>IF($B40=$I$11,'F_Copeland Sidewalk_Costs'!$J$31,0)</f>
        <v>0</v>
      </c>
      <c r="F40" s="71">
        <f>E40*(1+0.07)^-($B40-'Global Assumptions'!$C$6)</f>
        <v>0</v>
      </c>
    </row>
    <row r="41" spans="1:9" ht="15.75" customHeight="1" x14ac:dyDescent="0.25">
      <c r="B41" s="106">
        <f t="shared" si="1"/>
        <v>2053</v>
      </c>
      <c r="C41" s="306">
        <f t="shared" si="0"/>
        <v>0</v>
      </c>
      <c r="D41" s="71">
        <f>C41*(1+0.07)^-($B41-'Global Assumptions'!$C$6)</f>
        <v>0</v>
      </c>
      <c r="E41" s="301">
        <f>IF($B41=$I$11,'F_Copeland Sidewalk_Costs'!$J$31,0)</f>
        <v>0</v>
      </c>
      <c r="F41" s="71">
        <f>E41*(1+0.07)^-($B41-'Global Assumptions'!$C$6)</f>
        <v>0</v>
      </c>
    </row>
    <row r="42" spans="1:9" ht="15.75" customHeight="1" x14ac:dyDescent="0.25">
      <c r="B42" s="106">
        <f t="shared" si="1"/>
        <v>2054</v>
      </c>
      <c r="C42" s="306">
        <f t="shared" si="0"/>
        <v>0</v>
      </c>
      <c r="D42" s="71">
        <f>C42*(1+0.07)^-($B42-'Global Assumptions'!$C$6)</f>
        <v>0</v>
      </c>
      <c r="E42" s="301">
        <f>IF($B42=$I$11,'F_Copeland Sidewalk_Costs'!$J$31,0)</f>
        <v>0</v>
      </c>
      <c r="F42" s="71">
        <f>E42*(1+0.07)^-($B42-'Global Assumptions'!$C$6)</f>
        <v>0</v>
      </c>
    </row>
    <row r="43" spans="1:9" ht="15.75" customHeight="1" x14ac:dyDescent="0.25">
      <c r="A43" s="14"/>
      <c r="B43" s="106">
        <f t="shared" si="1"/>
        <v>2055</v>
      </c>
      <c r="C43" s="306">
        <f t="shared" si="0"/>
        <v>0</v>
      </c>
      <c r="D43" s="71">
        <f>C43*(1+0.07)^-($B43-'Global Assumptions'!$C$6)</f>
        <v>0</v>
      </c>
      <c r="E43" s="301">
        <f>IF($B43=$I$11,'F_Copeland Sidewalk_Costs'!$J$31,0)</f>
        <v>0</v>
      </c>
      <c r="F43" s="71">
        <f>E43*(1+0.07)^-($B43-'Global Assumptions'!$C$6)</f>
        <v>0</v>
      </c>
    </row>
    <row r="44" spans="1:9" ht="15.75" customHeight="1" thickBot="1" x14ac:dyDescent="0.3">
      <c r="B44" s="107">
        <f t="shared" si="1"/>
        <v>2056</v>
      </c>
      <c r="C44" s="307">
        <f t="shared" si="0"/>
        <v>0</v>
      </c>
      <c r="D44" s="72">
        <f>C44*(1+0.07)^-($B44-'Global Assumptions'!$C$6)</f>
        <v>0</v>
      </c>
      <c r="E44" s="311">
        <f>IF($B44=$I$11,'F_Copeland Sidewalk_Costs'!$J$31,0)</f>
        <v>0</v>
      </c>
      <c r="F44" s="72">
        <f>E44*(1+0.07)^-($B44-'Global Assumptions'!$C$6)</f>
        <v>0</v>
      </c>
    </row>
    <row r="45" spans="1:9" ht="15.75" customHeight="1" thickBot="1" x14ac:dyDescent="0.3">
      <c r="C45" s="126" t="s">
        <v>63</v>
      </c>
      <c r="D45" s="92">
        <f>SUM(D7:D44)</f>
        <v>408148.93844542594</v>
      </c>
      <c r="E45" s="126" t="s">
        <v>64</v>
      </c>
      <c r="F45" s="92">
        <f>SUM(F7:F44)</f>
        <v>37109.782329746275</v>
      </c>
    </row>
    <row r="46" spans="1:9" ht="15" customHeight="1" x14ac:dyDescent="0.25"/>
    <row r="48" spans="1:9" ht="15.75" thickBot="1" x14ac:dyDescent="0.3">
      <c r="B48" s="15" t="s">
        <v>3</v>
      </c>
      <c r="C48" s="14"/>
      <c r="D48" s="14"/>
      <c r="E48" s="14"/>
      <c r="F48" s="14"/>
      <c r="I48" s="151" t="s">
        <v>62</v>
      </c>
    </row>
    <row r="49" spans="1:10" ht="15.75" thickBot="1" x14ac:dyDescent="0.3">
      <c r="A49" s="96" t="s">
        <v>24</v>
      </c>
      <c r="B49" s="367" t="s">
        <v>277</v>
      </c>
      <c r="C49" s="367"/>
      <c r="D49" s="367"/>
      <c r="E49" s="367"/>
      <c r="F49" s="367"/>
      <c r="I49" s="11"/>
      <c r="J49" s="161" t="s">
        <v>39</v>
      </c>
    </row>
    <row r="50" spans="1:10" x14ac:dyDescent="0.25">
      <c r="B50" s="367"/>
      <c r="C50" s="367"/>
      <c r="D50" s="367"/>
      <c r="E50" s="367"/>
      <c r="F50" s="367"/>
      <c r="I50" s="12" t="s">
        <v>18</v>
      </c>
      <c r="J50" s="98">
        <f>'F_Copeland Sidewalk_Benefits'!E37+'F_Copeland Sidewalk_Costs'!F45</f>
        <v>1018860.4569457959</v>
      </c>
    </row>
    <row r="51" spans="1:10" ht="15" customHeight="1" thickBot="1" x14ac:dyDescent="0.3">
      <c r="B51" s="367"/>
      <c r="C51" s="367"/>
      <c r="D51" s="367"/>
      <c r="E51" s="367"/>
      <c r="F51" s="367"/>
      <c r="I51" s="13" t="s">
        <v>19</v>
      </c>
      <c r="J51" s="99">
        <f>D45</f>
        <v>408148.93844542594</v>
      </c>
    </row>
    <row r="52" spans="1:10" ht="15.75" thickTop="1" x14ac:dyDescent="0.25">
      <c r="B52" s="367"/>
      <c r="C52" s="367"/>
      <c r="D52" s="367"/>
      <c r="E52" s="367"/>
      <c r="F52" s="367"/>
      <c r="I52" s="87" t="s">
        <v>20</v>
      </c>
      <c r="J52" s="88">
        <f>+J50/J51</f>
        <v>2.4962957415164975</v>
      </c>
    </row>
    <row r="53" spans="1:10" ht="15.75" thickBot="1" x14ac:dyDescent="0.3">
      <c r="B53" s="367"/>
      <c r="C53" s="367"/>
      <c r="D53" s="367"/>
      <c r="E53" s="367"/>
      <c r="F53" s="367"/>
      <c r="I53" s="89" t="s">
        <v>50</v>
      </c>
      <c r="J53" s="90">
        <f>J50-J51</f>
        <v>610711.51850036997</v>
      </c>
    </row>
    <row r="54" spans="1:10" x14ac:dyDescent="0.25">
      <c r="A54" s="96"/>
      <c r="B54" s="215"/>
      <c r="C54" s="215"/>
      <c r="D54" s="215"/>
      <c r="E54" s="215"/>
      <c r="F54" s="215"/>
    </row>
    <row r="55" spans="1:10" ht="15" customHeight="1" x14ac:dyDescent="0.25">
      <c r="A55" s="96" t="s">
        <v>23</v>
      </c>
      <c r="B55" s="367" t="s">
        <v>52</v>
      </c>
      <c r="C55" s="367"/>
      <c r="D55" s="367"/>
      <c r="E55" s="367"/>
      <c r="F55" s="367"/>
    </row>
    <row r="56" spans="1:10" x14ac:dyDescent="0.25">
      <c r="A56" s="50"/>
      <c r="B56" s="367"/>
      <c r="C56" s="367"/>
      <c r="D56" s="367"/>
      <c r="E56" s="367"/>
      <c r="F56" s="367"/>
    </row>
    <row r="57" spans="1:10" x14ac:dyDescent="0.25">
      <c r="A57" s="50"/>
      <c r="B57" s="367"/>
      <c r="C57" s="367"/>
      <c r="D57" s="367"/>
      <c r="E57" s="367"/>
      <c r="F57" s="367"/>
    </row>
    <row r="58" spans="1:10" x14ac:dyDescent="0.25">
      <c r="A58" s="96"/>
      <c r="B58" s="367"/>
      <c r="C58" s="367"/>
      <c r="D58" s="367"/>
      <c r="E58" s="367"/>
      <c r="F58" s="367"/>
    </row>
    <row r="59" spans="1:10" x14ac:dyDescent="0.25">
      <c r="B59" s="367"/>
      <c r="C59" s="367"/>
      <c r="D59" s="367"/>
      <c r="E59" s="367"/>
      <c r="F59" s="367"/>
    </row>
    <row r="60" spans="1:10" x14ac:dyDescent="0.25">
      <c r="B60" s="367"/>
      <c r="C60" s="367"/>
      <c r="D60" s="367"/>
      <c r="E60" s="367"/>
      <c r="F60" s="367"/>
    </row>
    <row r="61" spans="1:10" ht="15" customHeight="1" x14ac:dyDescent="0.25">
      <c r="A61" s="152"/>
      <c r="B61" s="367"/>
      <c r="C61" s="367"/>
      <c r="D61" s="367"/>
      <c r="E61" s="367"/>
      <c r="F61" s="367"/>
    </row>
    <row r="62" spans="1:10" x14ac:dyDescent="0.25">
      <c r="A62" s="50"/>
      <c r="B62" s="367"/>
      <c r="C62" s="367"/>
      <c r="D62" s="367"/>
      <c r="E62" s="367"/>
      <c r="F62" s="367"/>
    </row>
    <row r="63" spans="1:10" x14ac:dyDescent="0.25">
      <c r="B63" s="367"/>
      <c r="C63" s="367"/>
      <c r="D63" s="367"/>
      <c r="E63" s="367"/>
      <c r="F63" s="367"/>
    </row>
  </sheetData>
  <mergeCells count="15">
    <mergeCell ref="H31:I31"/>
    <mergeCell ref="B49:F53"/>
    <mergeCell ref="B55:F63"/>
    <mergeCell ref="I15:I17"/>
    <mergeCell ref="J15:J17"/>
    <mergeCell ref="H21:I21"/>
    <mergeCell ref="H25:H27"/>
    <mergeCell ref="I25:I27"/>
    <mergeCell ref="J25:J27"/>
    <mergeCell ref="H15:H17"/>
    <mergeCell ref="B5:B6"/>
    <mergeCell ref="C5:C6"/>
    <mergeCell ref="D5:D6"/>
    <mergeCell ref="E5:E6"/>
    <mergeCell ref="F5:F6"/>
  </mergeCells>
  <pageMargins left="0.25" right="0.25" top="0.75" bottom="0.75" header="0.3" footer="0.3"/>
  <pageSetup paperSize="119" scale="5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F6581-3E21-4846-A089-F6AE3ECCB6F0}">
  <sheetPr>
    <tabColor rgb="FF00B050"/>
    <pageSetUpPr fitToPage="1"/>
  </sheetPr>
  <dimension ref="A1:U95"/>
  <sheetViews>
    <sheetView view="pageBreakPreview" topLeftCell="A22" zoomScale="85" zoomScaleNormal="85" zoomScaleSheetLayoutView="85" workbookViewId="0">
      <selection activeCell="J59" sqref="J59"/>
    </sheetView>
  </sheetViews>
  <sheetFormatPr defaultColWidth="9.140625" defaultRowHeight="15" x14ac:dyDescent="0.25"/>
  <cols>
    <col min="1" max="1" width="3.7109375" style="220" customWidth="1"/>
    <col min="2" max="2" width="16.7109375" style="220" customWidth="1"/>
    <col min="3" max="3" width="18" style="220" bestFit="1" customWidth="1"/>
    <col min="4" max="4" width="15.7109375" style="220" customWidth="1"/>
    <col min="5" max="5" width="19" style="220" customWidth="1"/>
    <col min="6" max="6" width="5.7109375" style="220" customWidth="1"/>
    <col min="7" max="7" width="108" style="220" customWidth="1"/>
    <col min="8" max="8" width="15.42578125" style="220" bestFit="1" customWidth="1"/>
    <col min="9" max="9" width="18.140625" style="220" customWidth="1"/>
    <col min="10" max="10" width="11" style="220" customWidth="1"/>
    <col min="11" max="11" width="9.140625" style="220"/>
    <col min="12" max="12" width="23.28515625" style="220" bestFit="1" customWidth="1"/>
    <col min="13" max="13" width="9.140625" style="220"/>
    <col min="14" max="14" width="25.85546875" style="220" customWidth="1"/>
    <col min="15" max="16" width="9.140625" style="220"/>
    <col min="17" max="19" width="12.5703125" style="220" customWidth="1"/>
    <col min="20" max="20" width="87.85546875" style="220" bestFit="1" customWidth="1"/>
    <col min="21" max="21" width="23.7109375" style="220" bestFit="1" customWidth="1"/>
    <col min="22" max="22" width="37.5703125" style="220" bestFit="1" customWidth="1"/>
    <col min="23" max="23" width="44" style="220" bestFit="1" customWidth="1"/>
    <col min="24" max="24" width="36.7109375" style="220" bestFit="1" customWidth="1"/>
    <col min="25" max="25" width="37.5703125" style="220" bestFit="1" customWidth="1"/>
    <col min="26" max="26" width="38.85546875" style="220" bestFit="1" customWidth="1"/>
    <col min="27" max="27" width="34.42578125" style="220" bestFit="1" customWidth="1"/>
    <col min="28" max="28" width="37.28515625" style="220" bestFit="1" customWidth="1"/>
    <col min="29" max="29" width="9.140625" style="220"/>
    <col min="30" max="30" width="27.140625" style="220" bestFit="1" customWidth="1"/>
    <col min="31" max="31" width="6.85546875" style="220" bestFit="1" customWidth="1"/>
    <col min="32" max="32" width="7.140625" style="220" bestFit="1" customWidth="1"/>
    <col min="33" max="33" width="7.42578125" style="220" bestFit="1" customWidth="1"/>
    <col min="34" max="34" width="7.7109375" style="220" bestFit="1" customWidth="1"/>
    <col min="35" max="35" width="8" style="220" bestFit="1" customWidth="1"/>
    <col min="36" max="36" width="8.140625" style="220" bestFit="1" customWidth="1"/>
    <col min="37" max="37" width="7.140625" style="220" bestFit="1" customWidth="1"/>
    <col min="38" max="38" width="7.42578125" style="220" bestFit="1" customWidth="1"/>
    <col min="39" max="39" width="7.7109375" style="220" bestFit="1" customWidth="1"/>
    <col min="40" max="40" width="6.85546875" style="220" bestFit="1" customWidth="1"/>
    <col min="41" max="41" width="7.140625" style="220" bestFit="1" customWidth="1"/>
    <col min="42" max="42" width="7.42578125" style="220" bestFit="1" customWidth="1"/>
    <col min="43" max="16384" width="9.140625" style="220"/>
  </cols>
  <sheetData>
    <row r="1" spans="1:21" x14ac:dyDescent="0.25">
      <c r="A1" s="14"/>
      <c r="B1" s="14"/>
      <c r="C1" s="14"/>
      <c r="D1" s="14"/>
      <c r="E1" s="14"/>
      <c r="T1" s="405"/>
      <c r="U1" s="405"/>
    </row>
    <row r="2" spans="1:21" x14ac:dyDescent="0.25">
      <c r="B2" s="151"/>
      <c r="J2" s="41"/>
    </row>
    <row r="3" spans="1:21" x14ac:dyDescent="0.25">
      <c r="B3" s="151" t="s">
        <v>284</v>
      </c>
      <c r="M3" s="201"/>
    </row>
    <row r="4" spans="1:21" ht="15.75" thickBot="1" x14ac:dyDescent="0.3">
      <c r="C4" s="158"/>
      <c r="D4" s="113"/>
      <c r="E4" s="113"/>
      <c r="H4" s="56"/>
      <c r="I4" s="18"/>
      <c r="J4" s="312"/>
    </row>
    <row r="5" spans="1:21" ht="35.1" customHeight="1" x14ac:dyDescent="0.25">
      <c r="B5" s="372" t="s">
        <v>0</v>
      </c>
      <c r="C5" s="376" t="s">
        <v>257</v>
      </c>
      <c r="D5" s="376" t="s">
        <v>2</v>
      </c>
      <c r="E5" s="378" t="s">
        <v>1</v>
      </c>
      <c r="G5" s="315"/>
    </row>
    <row r="6" spans="1:21" ht="43.5" customHeight="1" thickBot="1" x14ac:dyDescent="0.3">
      <c r="B6" s="373"/>
      <c r="C6" s="377"/>
      <c r="D6" s="377"/>
      <c r="E6" s="379"/>
    </row>
    <row r="7" spans="1:21" ht="18" customHeight="1" x14ac:dyDescent="0.25">
      <c r="B7" s="1">
        <f>'G_Copeland Park Pier_Costs'!I10</f>
        <v>2023</v>
      </c>
      <c r="C7" s="114">
        <f>TREND($H$17:$H$18,$G$17:$G$18,B7)</f>
        <v>50201.157599999991</v>
      </c>
      <c r="D7" s="80">
        <f t="shared" ref="D7:D36" si="0">SUM(C7:C7)</f>
        <v>50201.157599999991</v>
      </c>
      <c r="E7" s="83">
        <f>D7*(1+0.05)^-($B7-'Global Assumptions'!$C$6)</f>
        <v>41300.616594937288</v>
      </c>
      <c r="G7" s="151" t="s">
        <v>363</v>
      </c>
      <c r="I7" s="207" t="s">
        <v>293</v>
      </c>
      <c r="J7" s="312"/>
    </row>
    <row r="8" spans="1:21" x14ac:dyDescent="0.25">
      <c r="B8" s="2">
        <f>B7+1</f>
        <v>2024</v>
      </c>
      <c r="C8" s="117">
        <f t="shared" ref="C8:C26" si="1">TREND($H$17:$H$18,$G$17:$G$18,B8)</f>
        <v>50201.157599999991</v>
      </c>
      <c r="D8" s="81">
        <f t="shared" si="0"/>
        <v>50201.157599999991</v>
      </c>
      <c r="E8" s="84">
        <f>D8*(1+0.07)^-($B8-'Global Assumptions'!$C$6)</f>
        <v>35792.731562881519</v>
      </c>
      <c r="G8" s="160" t="s">
        <v>256</v>
      </c>
      <c r="H8" s="94">
        <v>24</v>
      </c>
      <c r="I8" s="295"/>
      <c r="J8" s="295"/>
    </row>
    <row r="9" spans="1:21" x14ac:dyDescent="0.25">
      <c r="B9" s="2">
        <f t="shared" ref="B9:B36" si="2">B8+1</f>
        <v>2025</v>
      </c>
      <c r="C9" s="117">
        <f t="shared" si="1"/>
        <v>50201.157599999991</v>
      </c>
      <c r="D9" s="81">
        <f t="shared" si="0"/>
        <v>50201.157599999991</v>
      </c>
      <c r="E9" s="84">
        <f>D9*(1+0.07)^-($B9-'Global Assumptions'!$C$6)</f>
        <v>33451.150993347212</v>
      </c>
      <c r="G9" s="160" t="s">
        <v>278</v>
      </c>
      <c r="H9" s="94">
        <v>60</v>
      </c>
      <c r="J9" s="295"/>
    </row>
    <row r="10" spans="1:21" x14ac:dyDescent="0.25">
      <c r="B10" s="2">
        <f t="shared" si="2"/>
        <v>2026</v>
      </c>
      <c r="C10" s="117">
        <f t="shared" si="1"/>
        <v>50201.157599999991</v>
      </c>
      <c r="D10" s="81">
        <f t="shared" si="0"/>
        <v>50201.157599999991</v>
      </c>
      <c r="E10" s="84">
        <f>D10*(1+0.07)^-($B10-'Global Assumptions'!$C$6)</f>
        <v>31262.757937707673</v>
      </c>
      <c r="G10" s="160" t="s">
        <v>274</v>
      </c>
      <c r="H10" s="437">
        <v>21.856999999999999</v>
      </c>
      <c r="J10" s="295"/>
    </row>
    <row r="11" spans="1:21" x14ac:dyDescent="0.25">
      <c r="B11" s="2">
        <f t="shared" si="2"/>
        <v>2027</v>
      </c>
      <c r="C11" s="117">
        <f t="shared" si="1"/>
        <v>50201.157599999991</v>
      </c>
      <c r="D11" s="81">
        <f t="shared" si="0"/>
        <v>50201.157599999991</v>
      </c>
      <c r="E11" s="84">
        <f>D11*(1+0.07)^-($B11-'Global Assumptions'!$C$6)</f>
        <v>29217.530782904367</v>
      </c>
      <c r="G11" s="160" t="s">
        <v>283</v>
      </c>
      <c r="H11" s="438">
        <v>33</v>
      </c>
      <c r="J11" s="295"/>
    </row>
    <row r="12" spans="1:21" x14ac:dyDescent="0.25">
      <c r="B12" s="2">
        <f t="shared" si="2"/>
        <v>2028</v>
      </c>
      <c r="C12" s="117">
        <f t="shared" si="1"/>
        <v>50201.157599999991</v>
      </c>
      <c r="D12" s="81">
        <f t="shared" si="0"/>
        <v>50201.157599999991</v>
      </c>
      <c r="E12" s="84">
        <f>D12*(1+0.07)^-($B12-'Global Assumptions'!$C$6)</f>
        <v>27306.103535424645</v>
      </c>
      <c r="G12" s="160" t="s">
        <v>282</v>
      </c>
      <c r="H12" s="94">
        <v>2.9</v>
      </c>
      <c r="I12" s="159" t="s">
        <v>272</v>
      </c>
      <c r="J12" s="220" t="s">
        <v>325</v>
      </c>
      <c r="T12" s="405"/>
    </row>
    <row r="13" spans="1:21" x14ac:dyDescent="0.25">
      <c r="B13" s="2">
        <f t="shared" si="2"/>
        <v>2029</v>
      </c>
      <c r="C13" s="117">
        <f t="shared" si="1"/>
        <v>50201.157599999991</v>
      </c>
      <c r="D13" s="81">
        <f t="shared" si="0"/>
        <v>50201.157599999991</v>
      </c>
      <c r="E13" s="84">
        <f>D13*(1+0.07)^-($B13-'Global Assumptions'!$C$6)</f>
        <v>25519.722930303404</v>
      </c>
      <c r="G13" s="160" t="s">
        <v>273</v>
      </c>
      <c r="H13" s="94">
        <v>1</v>
      </c>
      <c r="I13" s="295"/>
      <c r="J13" s="295"/>
      <c r="T13" s="405"/>
    </row>
    <row r="14" spans="1:21" ht="15" customHeight="1" x14ac:dyDescent="0.25">
      <c r="B14" s="2">
        <f t="shared" si="2"/>
        <v>2030</v>
      </c>
      <c r="C14" s="117">
        <f t="shared" si="1"/>
        <v>50201.157599999991</v>
      </c>
      <c r="D14" s="81">
        <f t="shared" si="0"/>
        <v>50201.157599999991</v>
      </c>
      <c r="E14" s="84">
        <f>D14*(1+0.07)^-($B14-'Global Assumptions'!$C$6)</f>
        <v>23850.208346077943</v>
      </c>
      <c r="G14" s="295"/>
      <c r="H14" s="295"/>
      <c r="I14" s="295"/>
      <c r="J14" s="295"/>
      <c r="T14" s="405"/>
    </row>
    <row r="15" spans="1:21" ht="18" thickBot="1" x14ac:dyDescent="0.3">
      <c r="B15" s="2">
        <f t="shared" si="2"/>
        <v>2031</v>
      </c>
      <c r="C15" s="117">
        <f t="shared" si="1"/>
        <v>50201.157599999991</v>
      </c>
      <c r="D15" s="81">
        <f t="shared" si="0"/>
        <v>50201.157599999991</v>
      </c>
      <c r="E15" s="84">
        <f>D15*(1+0.07)^-($B15-'Global Assumptions'!$C$6)</f>
        <v>22289.914342128923</v>
      </c>
      <c r="G15" s="294" t="s">
        <v>362</v>
      </c>
      <c r="H15" s="294"/>
      <c r="I15" s="295"/>
      <c r="J15" s="295"/>
      <c r="K15" s="42"/>
      <c r="L15" s="42"/>
      <c r="T15" s="405"/>
    </row>
    <row r="16" spans="1:21" ht="15.75" thickBot="1" x14ac:dyDescent="0.3">
      <c r="B16" s="2">
        <f t="shared" si="2"/>
        <v>2032</v>
      </c>
      <c r="C16" s="117">
        <f t="shared" si="1"/>
        <v>50201.157599999991</v>
      </c>
      <c r="D16" s="81">
        <f t="shared" si="0"/>
        <v>50201.157599999991</v>
      </c>
      <c r="E16" s="84">
        <f>D16*(1+0.07)^-($B16-'Global Assumptions'!$C$6)</f>
        <v>20831.695646849461</v>
      </c>
      <c r="G16" s="188" t="s">
        <v>46</v>
      </c>
      <c r="H16" s="189" t="s">
        <v>194</v>
      </c>
      <c r="I16" s="295"/>
      <c r="J16" s="295"/>
    </row>
    <row r="17" spans="2:20" ht="15.75" thickTop="1" x14ac:dyDescent="0.25">
      <c r="B17" s="2">
        <f t="shared" si="2"/>
        <v>2033</v>
      </c>
      <c r="C17" s="117">
        <f t="shared" si="1"/>
        <v>50201.157599999991</v>
      </c>
      <c r="D17" s="81">
        <f t="shared" si="0"/>
        <v>50201.157599999991</v>
      </c>
      <c r="E17" s="84">
        <f>D17*(1+0.07)^-($B17-'Global Assumptions'!$C$6)</f>
        <v>19468.874436307909</v>
      </c>
      <c r="G17" s="212">
        <v>2021</v>
      </c>
      <c r="H17" s="224">
        <f>$H$8*($H$9/60)*$H$10*$H$11*$H$12</f>
        <v>50201.157599999991</v>
      </c>
      <c r="I17" s="295"/>
      <c r="J17" s="295"/>
    </row>
    <row r="18" spans="2:20" ht="15.75" thickBot="1" x14ac:dyDescent="0.3">
      <c r="B18" s="2">
        <f t="shared" si="2"/>
        <v>2034</v>
      </c>
      <c r="C18" s="117">
        <f t="shared" si="1"/>
        <v>50201.157599999991</v>
      </c>
      <c r="D18" s="81">
        <f t="shared" si="0"/>
        <v>50201.157599999991</v>
      </c>
      <c r="E18" s="84">
        <f>D18*(1+0.07)^-($B18-'Global Assumptions'!$C$6)</f>
        <v>18195.209753558789</v>
      </c>
      <c r="G18" s="213">
        <v>2040</v>
      </c>
      <c r="H18" s="225">
        <f>$H$8*($H$9/60)*$H$10*$H$11*$H$12</f>
        <v>50201.157599999991</v>
      </c>
      <c r="I18" s="295"/>
      <c r="J18" s="295"/>
      <c r="T18" s="405"/>
    </row>
    <row r="19" spans="2:20" x14ac:dyDescent="0.25">
      <c r="B19" s="2">
        <f t="shared" si="2"/>
        <v>2035</v>
      </c>
      <c r="C19" s="117">
        <f t="shared" si="1"/>
        <v>50201.157599999991</v>
      </c>
      <c r="D19" s="81">
        <f t="shared" si="0"/>
        <v>50201.157599999991</v>
      </c>
      <c r="E19" s="84">
        <f>D19*(1+0.07)^-($B19-'Global Assumptions'!$C$6)</f>
        <v>17004.868928559619</v>
      </c>
      <c r="T19" s="405"/>
    </row>
    <row r="20" spans="2:20" x14ac:dyDescent="0.25">
      <c r="B20" s="2">
        <f t="shared" si="2"/>
        <v>2036</v>
      </c>
      <c r="C20" s="117">
        <f t="shared" si="1"/>
        <v>50201.157599999991</v>
      </c>
      <c r="D20" s="81">
        <f t="shared" si="0"/>
        <v>50201.157599999991</v>
      </c>
      <c r="E20" s="84">
        <f>D20*(1+0.07)^-($B20-'Global Assumptions'!$C$6)</f>
        <v>15892.40086781273</v>
      </c>
      <c r="G20" s="314" t="s">
        <v>275</v>
      </c>
      <c r="T20" s="405"/>
    </row>
    <row r="21" spans="2:20" x14ac:dyDescent="0.25">
      <c r="B21" s="2">
        <f t="shared" si="2"/>
        <v>2037</v>
      </c>
      <c r="C21" s="117">
        <f t="shared" si="1"/>
        <v>50201.157599999991</v>
      </c>
      <c r="D21" s="81">
        <f t="shared" si="0"/>
        <v>50201.157599999991</v>
      </c>
      <c r="E21" s="84">
        <f>D21*(1+0.07)^-($B21-'Global Assumptions'!$C$6)</f>
        <v>14852.711091413763</v>
      </c>
      <c r="G21" s="313" t="s">
        <v>279</v>
      </c>
      <c r="T21" s="405"/>
    </row>
    <row r="22" spans="2:20" x14ac:dyDescent="0.25">
      <c r="B22" s="2">
        <f t="shared" si="2"/>
        <v>2038</v>
      </c>
      <c r="C22" s="117">
        <f t="shared" si="1"/>
        <v>50201.157599999991</v>
      </c>
      <c r="D22" s="81">
        <f t="shared" si="0"/>
        <v>50201.157599999991</v>
      </c>
      <c r="E22" s="84">
        <f>D22*(1+0.07)^-($B22-'Global Assumptions'!$C$6)</f>
        <v>13881.038403190434</v>
      </c>
      <c r="G22" s="313" t="s">
        <v>281</v>
      </c>
    </row>
    <row r="23" spans="2:20" x14ac:dyDescent="0.25">
      <c r="B23" s="2">
        <f t="shared" si="2"/>
        <v>2039</v>
      </c>
      <c r="C23" s="117">
        <f t="shared" si="1"/>
        <v>50201.157599999991</v>
      </c>
      <c r="D23" s="81">
        <f t="shared" si="0"/>
        <v>50201.157599999991</v>
      </c>
      <c r="E23" s="84">
        <f>D23*(1+0.07)^-($B23-'Global Assumptions'!$C$6)</f>
        <v>12972.933087093865</v>
      </c>
      <c r="G23" s="313" t="s">
        <v>280</v>
      </c>
      <c r="H23" s="103"/>
    </row>
    <row r="24" spans="2:20" x14ac:dyDescent="0.25">
      <c r="B24" s="2">
        <f t="shared" si="2"/>
        <v>2040</v>
      </c>
      <c r="C24" s="117">
        <f t="shared" si="1"/>
        <v>50201.157599999991</v>
      </c>
      <c r="D24" s="81">
        <f t="shared" si="0"/>
        <v>50201.157599999991</v>
      </c>
      <c r="E24" s="84">
        <f>D24*(1+0.07)^-($B24-'Global Assumptions'!$C$6)</f>
        <v>12124.236529994265</v>
      </c>
      <c r="G24" s="313" t="s">
        <v>276</v>
      </c>
      <c r="H24" s="103"/>
    </row>
    <row r="25" spans="2:20" x14ac:dyDescent="0.25">
      <c r="B25" s="2">
        <f t="shared" si="2"/>
        <v>2041</v>
      </c>
      <c r="C25" s="117">
        <f t="shared" si="1"/>
        <v>50201.157599999991</v>
      </c>
      <c r="D25" s="81">
        <f t="shared" si="0"/>
        <v>50201.157599999991</v>
      </c>
      <c r="E25" s="84">
        <f>D25*(1+0.07)^-($B25-'Global Assumptions'!$C$6)</f>
        <v>11331.062177564734</v>
      </c>
    </row>
    <row r="26" spans="2:20" x14ac:dyDescent="0.25">
      <c r="B26" s="2">
        <f t="shared" si="2"/>
        <v>2042</v>
      </c>
      <c r="C26" s="117">
        <f t="shared" si="1"/>
        <v>50201.157599999991</v>
      </c>
      <c r="D26" s="81">
        <f t="shared" si="0"/>
        <v>50201.157599999991</v>
      </c>
      <c r="E26" s="84">
        <f>D26*(1+0.07)^-($B26-'Global Assumptions'!$C$6)</f>
        <v>10589.777736041806</v>
      </c>
      <c r="G26" s="295"/>
      <c r="H26" s="295"/>
      <c r="I26" s="295"/>
    </row>
    <row r="27" spans="2:20" x14ac:dyDescent="0.25">
      <c r="B27" s="2">
        <f t="shared" si="2"/>
        <v>2043</v>
      </c>
      <c r="C27" s="117">
        <v>0</v>
      </c>
      <c r="D27" s="81">
        <f t="shared" si="0"/>
        <v>0</v>
      </c>
      <c r="E27" s="84">
        <f>D27*(1+0.07)^-($B27-'Global Assumptions'!$C$6)</f>
        <v>0</v>
      </c>
      <c r="G27" s="221"/>
      <c r="H27" s="295"/>
      <c r="I27" s="295"/>
      <c r="T27" s="405"/>
    </row>
    <row r="28" spans="2:20" x14ac:dyDescent="0.25">
      <c r="B28" s="2">
        <f t="shared" si="2"/>
        <v>2044</v>
      </c>
      <c r="C28" s="117">
        <f>IF($B28&gt;'B_Roadway Improvements_Costs'!$I$11,0,#REF!/20*#REF!/#REF!)</f>
        <v>0</v>
      </c>
      <c r="D28" s="81">
        <f t="shared" si="0"/>
        <v>0</v>
      </c>
      <c r="E28" s="84">
        <f>D28*(1+0.07)^-($B28-'Global Assumptions'!$C$6)</f>
        <v>0</v>
      </c>
      <c r="G28" s="221"/>
      <c r="H28" s="295"/>
      <c r="I28" s="295"/>
      <c r="T28" s="405"/>
    </row>
    <row r="29" spans="2:20" x14ac:dyDescent="0.25">
      <c r="B29" s="2">
        <f t="shared" si="2"/>
        <v>2045</v>
      </c>
      <c r="C29" s="117">
        <f>IF($B29&gt;'B_Roadway Improvements_Costs'!$I$11,0,#REF!/20*#REF!/#REF!)</f>
        <v>0</v>
      </c>
      <c r="D29" s="81">
        <f t="shared" si="0"/>
        <v>0</v>
      </c>
      <c r="E29" s="84">
        <f>D29*(1+0.07)^-($B29-'Global Assumptions'!$C$6)</f>
        <v>0</v>
      </c>
      <c r="G29" s="295"/>
      <c r="H29" s="295"/>
      <c r="I29" s="295"/>
      <c r="T29" s="405"/>
    </row>
    <row r="30" spans="2:20" x14ac:dyDescent="0.25">
      <c r="B30" s="2">
        <f t="shared" si="2"/>
        <v>2046</v>
      </c>
      <c r="C30" s="117">
        <f>IF($B30&gt;'B_Roadway Improvements_Costs'!$I$11,0,#REF!/20*#REF!/#REF!)</f>
        <v>0</v>
      </c>
      <c r="D30" s="81">
        <f t="shared" si="0"/>
        <v>0</v>
      </c>
      <c r="E30" s="84">
        <f>D30*(1+0.07)^-($B30-'Global Assumptions'!$C$6)</f>
        <v>0</v>
      </c>
      <c r="G30" s="159"/>
      <c r="H30" s="295"/>
      <c r="I30" s="295"/>
      <c r="T30" s="405"/>
    </row>
    <row r="31" spans="2:20" ht="14.25" customHeight="1" x14ac:dyDescent="0.25">
      <c r="B31" s="2">
        <f t="shared" si="2"/>
        <v>2047</v>
      </c>
      <c r="C31" s="117">
        <f>IF($B31&gt;'B_Roadway Improvements_Costs'!$I$11,0,#REF!/20*#REF!/#REF!)</f>
        <v>0</v>
      </c>
      <c r="D31" s="81">
        <f t="shared" si="0"/>
        <v>0</v>
      </c>
      <c r="E31" s="84">
        <f>D31*(1+0.07)^-($B31-'Global Assumptions'!$C$6)</f>
        <v>0</v>
      </c>
      <c r="G31" s="159"/>
      <c r="H31" s="295"/>
      <c r="I31" s="295"/>
    </row>
    <row r="32" spans="2:20" x14ac:dyDescent="0.25">
      <c r="B32" s="2">
        <f t="shared" si="2"/>
        <v>2048</v>
      </c>
      <c r="C32" s="117">
        <f>IF($B32&gt;'B_Roadway Improvements_Costs'!$I$11,0,#REF!/20*#REF!/#REF!)</f>
        <v>0</v>
      </c>
      <c r="D32" s="81">
        <f t="shared" si="0"/>
        <v>0</v>
      </c>
      <c r="E32" s="84">
        <f>D32*(1+0.07)^-($B32-'Global Assumptions'!$C$6)</f>
        <v>0</v>
      </c>
      <c r="H32" s="295"/>
      <c r="I32" s="295"/>
    </row>
    <row r="33" spans="1:20" x14ac:dyDescent="0.25">
      <c r="B33" s="2">
        <f t="shared" si="2"/>
        <v>2049</v>
      </c>
      <c r="C33" s="117">
        <f>IF($B33&gt;'B_Roadway Improvements_Costs'!$I$11,0,#REF!/20*#REF!/#REF!)</f>
        <v>0</v>
      </c>
      <c r="D33" s="81">
        <f t="shared" si="0"/>
        <v>0</v>
      </c>
      <c r="E33" s="84">
        <f>D33*(1+0.07)^-($B33-'Global Assumptions'!$C$6)</f>
        <v>0</v>
      </c>
      <c r="H33" s="295"/>
      <c r="I33" s="295"/>
      <c r="T33" s="405"/>
    </row>
    <row r="34" spans="1:20" x14ac:dyDescent="0.25">
      <c r="B34" s="2">
        <f t="shared" si="2"/>
        <v>2050</v>
      </c>
      <c r="C34" s="117">
        <f>IF($B34&gt;'B_Roadway Improvements_Costs'!$I$11,0,#REF!/20*#REF!/#REF!)</f>
        <v>0</v>
      </c>
      <c r="D34" s="81">
        <f t="shared" si="0"/>
        <v>0</v>
      </c>
      <c r="E34" s="84">
        <f>D34*(1+0.07)^-($B34-'Global Assumptions'!$C$6)</f>
        <v>0</v>
      </c>
      <c r="H34" s="295"/>
      <c r="I34" s="295"/>
      <c r="T34" s="405"/>
    </row>
    <row r="35" spans="1:20" x14ac:dyDescent="0.25">
      <c r="B35" s="2">
        <f t="shared" si="2"/>
        <v>2051</v>
      </c>
      <c r="C35" s="117">
        <f>IF($B35&gt;'B_Roadway Improvements_Costs'!$I$11,0,#REF!/20*#REF!/#REF!)</f>
        <v>0</v>
      </c>
      <c r="D35" s="81">
        <f t="shared" si="0"/>
        <v>0</v>
      </c>
      <c r="E35" s="84">
        <f>D35*(1+0.07)^-($B35-'Global Assumptions'!$C$6)</f>
        <v>0</v>
      </c>
      <c r="G35" s="295"/>
      <c r="T35" s="405"/>
    </row>
    <row r="36" spans="1:20" ht="15" customHeight="1" thickBot="1" x14ac:dyDescent="0.3">
      <c r="B36" s="3">
        <f t="shared" si="2"/>
        <v>2052</v>
      </c>
      <c r="C36" s="120">
        <f>IF($B36&gt;'B_Roadway Improvements_Costs'!$I$11,0,#REF!/20*#REF!/#REF!)</f>
        <v>0</v>
      </c>
      <c r="D36" s="91">
        <f t="shared" si="0"/>
        <v>0</v>
      </c>
      <c r="E36" s="85">
        <f>D36*(1+0.07)^-($B36-'Global Assumptions'!$C$6)</f>
        <v>0</v>
      </c>
      <c r="G36" s="295"/>
      <c r="T36" s="405"/>
    </row>
    <row r="37" spans="1:20" ht="15" customHeight="1" thickBot="1" x14ac:dyDescent="0.3">
      <c r="B37" s="4"/>
      <c r="C37" s="51"/>
      <c r="D37" s="125" t="s">
        <v>2</v>
      </c>
      <c r="E37" s="86">
        <f>SUM(E7:E36)</f>
        <v>437135.54568410042</v>
      </c>
      <c r="G37" s="295"/>
    </row>
    <row r="38" spans="1:20" ht="15" customHeight="1" x14ac:dyDescent="0.25">
      <c r="D38" s="295"/>
      <c r="E38" s="295"/>
      <c r="F38" s="295"/>
      <c r="G38" s="295"/>
      <c r="H38" s="282"/>
    </row>
    <row r="39" spans="1:20" x14ac:dyDescent="0.25">
      <c r="B39" s="15" t="s">
        <v>3</v>
      </c>
      <c r="D39" s="295"/>
      <c r="E39" s="295"/>
      <c r="F39" s="295"/>
      <c r="H39" s="281"/>
    </row>
    <row r="40" spans="1:20" ht="15" customHeight="1" x14ac:dyDescent="0.25">
      <c r="A40" s="152" t="s">
        <v>24</v>
      </c>
      <c r="B40" s="367" t="s">
        <v>332</v>
      </c>
      <c r="C40" s="367"/>
      <c r="D40" s="367"/>
      <c r="E40" s="367"/>
    </row>
    <row r="41" spans="1:20" ht="15" customHeight="1" x14ac:dyDescent="0.25">
      <c r="B41" s="367"/>
      <c r="C41" s="367"/>
      <c r="D41" s="367"/>
      <c r="E41" s="367"/>
    </row>
    <row r="42" spans="1:20" ht="15" customHeight="1" x14ac:dyDescent="0.25">
      <c r="B42" s="367"/>
      <c r="C42" s="367"/>
      <c r="D42" s="367"/>
      <c r="E42" s="367"/>
      <c r="G42" s="152"/>
    </row>
    <row r="43" spans="1:20" ht="15" customHeight="1" x14ac:dyDescent="0.25">
      <c r="B43" s="367"/>
      <c r="C43" s="367"/>
      <c r="D43" s="367"/>
      <c r="E43" s="367"/>
      <c r="G43" s="152"/>
    </row>
    <row r="44" spans="1:20" ht="15" customHeight="1" x14ac:dyDescent="0.25">
      <c r="B44" s="367"/>
      <c r="C44" s="367"/>
      <c r="D44" s="367"/>
      <c r="E44" s="367"/>
    </row>
    <row r="45" spans="1:20" x14ac:dyDescent="0.25">
      <c r="B45" s="367"/>
      <c r="C45" s="367"/>
      <c r="D45" s="367"/>
      <c r="E45" s="367"/>
      <c r="F45" s="217"/>
    </row>
    <row r="46" spans="1:20" x14ac:dyDescent="0.25">
      <c r="B46" s="367"/>
      <c r="C46" s="367"/>
      <c r="D46" s="367"/>
      <c r="E46" s="367"/>
      <c r="F46" s="217"/>
    </row>
    <row r="47" spans="1:20" x14ac:dyDescent="0.25">
      <c r="B47" s="367"/>
      <c r="C47" s="367"/>
      <c r="D47" s="367"/>
      <c r="E47" s="367"/>
      <c r="F47" s="217"/>
    </row>
    <row r="48" spans="1:20" x14ac:dyDescent="0.25">
      <c r="B48" s="367"/>
      <c r="C48" s="367"/>
      <c r="D48" s="367"/>
      <c r="E48" s="367"/>
      <c r="F48" s="217"/>
    </row>
    <row r="49" spans="1:16" x14ac:dyDescent="0.25">
      <c r="B49" s="353"/>
      <c r="C49" s="353"/>
      <c r="D49" s="353"/>
      <c r="E49" s="353"/>
      <c r="F49" s="217"/>
    </row>
    <row r="50" spans="1:16" x14ac:dyDescent="0.25">
      <c r="A50" s="152"/>
      <c r="B50" s="353"/>
      <c r="C50" s="353"/>
      <c r="D50" s="353"/>
      <c r="E50" s="353"/>
      <c r="F50" s="217"/>
      <c r="P50" s="159"/>
    </row>
    <row r="51" spans="1:16" x14ac:dyDescent="0.25">
      <c r="A51" s="152"/>
      <c r="B51" s="353"/>
      <c r="C51" s="353"/>
      <c r="D51" s="353"/>
      <c r="E51" s="353"/>
      <c r="F51" s="217"/>
    </row>
    <row r="52" spans="1:16" x14ac:dyDescent="0.25">
      <c r="A52" s="152"/>
      <c r="B52" s="353"/>
      <c r="C52" s="353"/>
      <c r="D52" s="353"/>
      <c r="E52" s="353"/>
      <c r="F52" s="217"/>
    </row>
    <row r="53" spans="1:16" x14ac:dyDescent="0.25">
      <c r="A53" s="152"/>
      <c r="B53" s="353"/>
      <c r="C53" s="353"/>
      <c r="D53" s="353"/>
      <c r="E53" s="353"/>
      <c r="F53" s="217"/>
    </row>
    <row r="54" spans="1:16" ht="15" customHeight="1" x14ac:dyDescent="0.25">
      <c r="A54" s="152"/>
      <c r="B54" s="353"/>
      <c r="C54" s="353"/>
      <c r="D54" s="353"/>
      <c r="E54" s="353"/>
      <c r="F54" s="217"/>
    </row>
    <row r="55" spans="1:16" x14ac:dyDescent="0.25">
      <c r="A55" s="152"/>
      <c r="B55" s="353"/>
      <c r="C55" s="353"/>
      <c r="D55" s="353"/>
      <c r="E55" s="353"/>
      <c r="F55" s="217"/>
    </row>
    <row r="56" spans="1:16" x14ac:dyDescent="0.25">
      <c r="A56" s="152"/>
      <c r="B56" s="353"/>
      <c r="C56" s="353"/>
      <c r="D56" s="353"/>
      <c r="E56" s="353"/>
      <c r="F56" s="217"/>
    </row>
    <row r="57" spans="1:16" x14ac:dyDescent="0.25">
      <c r="A57" s="152"/>
      <c r="B57" s="353"/>
      <c r="C57" s="353"/>
      <c r="D57" s="353"/>
      <c r="E57" s="353"/>
      <c r="F57" s="217"/>
      <c r="H57" s="47"/>
    </row>
    <row r="58" spans="1:16" x14ac:dyDescent="0.25">
      <c r="A58" s="152"/>
      <c r="B58" s="19"/>
      <c r="C58" s="19"/>
      <c r="D58" s="19"/>
      <c r="E58" s="19"/>
      <c r="F58" s="217"/>
      <c r="H58" s="47"/>
    </row>
    <row r="59" spans="1:16" x14ac:dyDescent="0.25">
      <c r="A59" s="152"/>
      <c r="B59" s="19"/>
      <c r="C59" s="19"/>
      <c r="D59" s="19"/>
      <c r="E59" s="19"/>
      <c r="F59" s="217"/>
      <c r="H59" s="47"/>
    </row>
    <row r="60" spans="1:16" x14ac:dyDescent="0.25">
      <c r="B60" s="19"/>
      <c r="C60" s="19"/>
      <c r="D60" s="19"/>
      <c r="E60" s="19"/>
      <c r="F60" s="217"/>
      <c r="H60" s="47"/>
    </row>
    <row r="61" spans="1:16" x14ac:dyDescent="0.25">
      <c r="B61" s="19"/>
      <c r="C61" s="19"/>
      <c r="D61" s="19"/>
      <c r="E61" s="19"/>
      <c r="F61" s="217"/>
      <c r="H61" s="47"/>
    </row>
    <row r="62" spans="1:16" x14ac:dyDescent="0.25">
      <c r="B62" s="19"/>
      <c r="C62" s="19"/>
      <c r="D62" s="19"/>
      <c r="E62" s="19"/>
      <c r="F62" s="217"/>
      <c r="H62" s="47"/>
    </row>
    <row r="63" spans="1:16" x14ac:dyDescent="0.25">
      <c r="B63" s="19"/>
      <c r="C63" s="19"/>
      <c r="D63" s="19"/>
      <c r="E63" s="19"/>
      <c r="F63" s="217"/>
      <c r="G63" s="53"/>
      <c r="H63" s="47"/>
    </row>
    <row r="64" spans="1:16" x14ac:dyDescent="0.25">
      <c r="B64" s="19"/>
      <c r="C64" s="19"/>
      <c r="D64" s="19"/>
      <c r="E64" s="19"/>
      <c r="F64" s="217"/>
      <c r="G64" s="53"/>
      <c r="H64" s="47"/>
    </row>
    <row r="65" spans="1:8" x14ac:dyDescent="0.25">
      <c r="B65" s="19"/>
      <c r="C65" s="19"/>
      <c r="D65" s="19"/>
      <c r="E65" s="19"/>
      <c r="F65" s="217"/>
      <c r="G65" s="53"/>
      <c r="H65" s="47"/>
    </row>
    <row r="66" spans="1:8" x14ac:dyDescent="0.25">
      <c r="B66" s="19"/>
      <c r="C66" s="19"/>
      <c r="D66" s="19"/>
      <c r="E66" s="19"/>
      <c r="F66" s="217"/>
      <c r="G66" s="53"/>
      <c r="H66" s="47"/>
    </row>
    <row r="67" spans="1:8" x14ac:dyDescent="0.25">
      <c r="B67" s="19"/>
      <c r="C67" s="19"/>
      <c r="D67" s="19"/>
      <c r="E67" s="19"/>
      <c r="F67" s="217"/>
      <c r="G67" s="53"/>
      <c r="H67" s="47"/>
    </row>
    <row r="68" spans="1:8" x14ac:dyDescent="0.25">
      <c r="B68" s="19"/>
      <c r="C68" s="19"/>
      <c r="D68" s="19"/>
      <c r="E68" s="19"/>
      <c r="F68" s="217"/>
      <c r="G68" s="53"/>
      <c r="H68" s="47"/>
    </row>
    <row r="69" spans="1:8" x14ac:dyDescent="0.25">
      <c r="B69" s="19"/>
      <c r="C69" s="19"/>
      <c r="D69" s="19"/>
      <c r="E69" s="19"/>
      <c r="F69" s="217"/>
      <c r="G69" s="53"/>
      <c r="H69" s="47"/>
    </row>
    <row r="70" spans="1:8" ht="15" customHeight="1" x14ac:dyDescent="0.25">
      <c r="F70" s="217"/>
      <c r="G70" s="53"/>
      <c r="H70" s="47"/>
    </row>
    <row r="71" spans="1:8" ht="15" customHeight="1" x14ac:dyDescent="0.25">
      <c r="A71" s="297"/>
      <c r="B71" s="21"/>
      <c r="C71" s="21"/>
      <c r="D71" s="21"/>
      <c r="E71" s="21"/>
      <c r="F71" s="217"/>
      <c r="G71" s="53"/>
      <c r="H71" s="21"/>
    </row>
    <row r="72" spans="1:8" ht="15" customHeight="1" x14ac:dyDescent="0.25">
      <c r="B72" s="21"/>
      <c r="C72" s="21"/>
      <c r="D72" s="21"/>
      <c r="E72" s="21"/>
      <c r="F72" s="217"/>
      <c r="G72" s="53"/>
    </row>
    <row r="73" spans="1:8" ht="15" customHeight="1" x14ac:dyDescent="0.25">
      <c r="B73" s="21"/>
      <c r="C73" s="21"/>
      <c r="D73" s="21"/>
      <c r="E73" s="21"/>
      <c r="F73" s="217"/>
      <c r="G73" s="53"/>
    </row>
    <row r="74" spans="1:8" x14ac:dyDescent="0.25">
      <c r="A74" s="152"/>
      <c r="B74" s="21"/>
      <c r="C74" s="21"/>
      <c r="D74" s="21"/>
      <c r="E74" s="21"/>
      <c r="F74" s="217"/>
      <c r="G74" s="21"/>
    </row>
    <row r="75" spans="1:8" x14ac:dyDescent="0.25">
      <c r="A75" s="152"/>
      <c r="B75" s="214"/>
      <c r="C75" s="214"/>
      <c r="D75" s="214"/>
      <c r="E75" s="214"/>
      <c r="F75" s="14"/>
      <c r="G75" s="217"/>
    </row>
    <row r="76" spans="1:8" x14ac:dyDescent="0.25">
      <c r="A76" s="152"/>
      <c r="B76" s="214"/>
      <c r="C76" s="214"/>
      <c r="D76" s="214"/>
      <c r="E76" s="214"/>
      <c r="F76" s="14"/>
      <c r="G76" s="217"/>
    </row>
    <row r="77" spans="1:8" x14ac:dyDescent="0.25">
      <c r="F77" s="217"/>
      <c r="G77" s="217"/>
    </row>
    <row r="78" spans="1:8" x14ac:dyDescent="0.25">
      <c r="F78" s="217"/>
    </row>
    <row r="79" spans="1:8" x14ac:dyDescent="0.25">
      <c r="F79" s="217"/>
    </row>
    <row r="94" spans="16:17" x14ac:dyDescent="0.25">
      <c r="P94" s="222"/>
      <c r="Q94" s="223"/>
    </row>
    <row r="95" spans="16:17" x14ac:dyDescent="0.25">
      <c r="P95" s="222"/>
      <c r="Q95" s="223"/>
    </row>
  </sheetData>
  <mergeCells count="14">
    <mergeCell ref="B40:E48"/>
    <mergeCell ref="T1:U1"/>
    <mergeCell ref="B5:B6"/>
    <mergeCell ref="C5:C6"/>
    <mergeCell ref="D5:D6"/>
    <mergeCell ref="E5:E6"/>
    <mergeCell ref="T12:T13"/>
    <mergeCell ref="T14:T15"/>
    <mergeCell ref="T18:T19"/>
    <mergeCell ref="T20:T21"/>
    <mergeCell ref="T29:T30"/>
    <mergeCell ref="T33:T34"/>
    <mergeCell ref="T35:T36"/>
    <mergeCell ref="T27:T28"/>
  </mergeCells>
  <hyperlinks>
    <hyperlink ref="I12" r:id="rId1" xr:uid="{196AF22F-EB91-45BB-B840-FEF078341D0D}"/>
  </hyperlinks>
  <printOptions horizontalCentered="1" verticalCentered="1"/>
  <pageMargins left="0.25" right="0.25" top="0.75" bottom="0.75" header="0.3" footer="0.3"/>
  <pageSetup scale="55"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1F65B-9CBA-4379-A62C-29659D3AC68A}">
  <sheetPr>
    <tabColor rgb="FFC00000"/>
    <pageSetUpPr fitToPage="1"/>
  </sheetPr>
  <dimension ref="A2:M63"/>
  <sheetViews>
    <sheetView view="pageBreakPreview" zoomScale="85" zoomScaleNormal="85" zoomScaleSheetLayoutView="85" workbookViewId="0">
      <selection activeCell="G1" sqref="G1"/>
    </sheetView>
  </sheetViews>
  <sheetFormatPr defaultRowHeight="15" x14ac:dyDescent="0.25"/>
  <cols>
    <col min="1" max="1" width="5.140625" style="220" customWidth="1"/>
    <col min="2" max="7" width="15.7109375" style="220" customWidth="1"/>
    <col min="8" max="8" width="27.85546875" style="220" customWidth="1"/>
    <col min="9" max="9" width="17" style="220" bestFit="1" customWidth="1"/>
    <col min="10" max="10" width="21.140625" style="220" customWidth="1"/>
    <col min="11" max="11" width="16" style="220" customWidth="1"/>
    <col min="12" max="12" width="20.5703125" style="220" customWidth="1"/>
    <col min="13" max="13" width="16" style="220" customWidth="1"/>
    <col min="14" max="14" width="13.140625" style="220" customWidth="1"/>
    <col min="15" max="16384" width="9.140625" style="220"/>
  </cols>
  <sheetData>
    <row r="2" spans="2:13" x14ac:dyDescent="0.25">
      <c r="B2" s="151" t="s">
        <v>51</v>
      </c>
    </row>
    <row r="3" spans="2:13" ht="15.75" customHeight="1" x14ac:dyDescent="0.25">
      <c r="C3" s="123"/>
      <c r="D3" s="123"/>
      <c r="E3" s="123"/>
      <c r="F3" s="123"/>
    </row>
    <row r="4" spans="2:13" ht="15.75" thickBot="1" x14ac:dyDescent="0.3">
      <c r="C4" s="108"/>
      <c r="D4" s="108"/>
      <c r="E4" s="108"/>
      <c r="F4" s="108"/>
    </row>
    <row r="5" spans="2:13" ht="15.75" customHeight="1" x14ac:dyDescent="0.25">
      <c r="B5" s="380" t="s">
        <v>0</v>
      </c>
      <c r="C5" s="382" t="s">
        <v>26</v>
      </c>
      <c r="D5" s="384" t="s">
        <v>1</v>
      </c>
      <c r="E5" s="386" t="s">
        <v>47</v>
      </c>
      <c r="F5" s="370" t="s">
        <v>48</v>
      </c>
      <c r="G5" s="315"/>
      <c r="H5" s="151" t="s">
        <v>32</v>
      </c>
      <c r="I5" s="295"/>
      <c r="J5" s="295"/>
    </row>
    <row r="6" spans="2:13" ht="15.75" customHeight="1" thickBot="1" x14ac:dyDescent="0.3">
      <c r="B6" s="381"/>
      <c r="C6" s="383"/>
      <c r="D6" s="385"/>
      <c r="E6" s="387"/>
      <c r="F6" s="371"/>
      <c r="H6" s="295"/>
      <c r="I6" s="139" t="s">
        <v>54</v>
      </c>
      <c r="J6" s="104"/>
      <c r="M6" s="103"/>
    </row>
    <row r="7" spans="2:13" ht="15.75" customHeight="1" x14ac:dyDescent="0.25">
      <c r="B7" s="302">
        <f>'Global Assumptions'!$C$6</f>
        <v>2019</v>
      </c>
      <c r="C7" s="308">
        <f t="shared" ref="C7:C44" si="0">IF(AND($B7&gt;=$I$7,$B7&lt;$I$7+$I$8),($J$21)/$I$8,0)</f>
        <v>0</v>
      </c>
      <c r="D7" s="303">
        <f>C7*(1+0.07)^-($B7-'Global Assumptions'!$C$6)</f>
        <v>0</v>
      </c>
      <c r="E7" s="309">
        <f>IF($B7=$I$11,'G_Copeland Park Pier_Costs'!$J$31,0)</f>
        <v>0</v>
      </c>
      <c r="F7" s="303">
        <f>E7*(1+0.07)^-($B7-'Global Assumptions'!$C$6)</f>
        <v>0</v>
      </c>
      <c r="H7" s="153" t="s">
        <v>33</v>
      </c>
      <c r="I7" s="95">
        <v>2021</v>
      </c>
      <c r="J7" s="9"/>
      <c r="M7" s="103"/>
    </row>
    <row r="8" spans="2:13" ht="15.75" customHeight="1" x14ac:dyDescent="0.25">
      <c r="B8" s="106">
        <f>B7+1</f>
        <v>2020</v>
      </c>
      <c r="C8" s="304">
        <f t="shared" si="0"/>
        <v>0</v>
      </c>
      <c r="D8" s="305">
        <f>C8*(1+0.07)^-($B8-'Global Assumptions'!$C$6)</f>
        <v>0</v>
      </c>
      <c r="E8" s="310">
        <f>IF($B8=$I$11,'G_Copeland Park Pier_Costs'!$J$31,0)</f>
        <v>0</v>
      </c>
      <c r="F8" s="305">
        <f>E8*(1+0.07)^-($B8-'Global Assumptions'!$C$6)</f>
        <v>0</v>
      </c>
      <c r="H8" s="153" t="s">
        <v>31</v>
      </c>
      <c r="I8" s="95">
        <v>2</v>
      </c>
      <c r="J8" s="105"/>
      <c r="M8" s="103"/>
    </row>
    <row r="9" spans="2:13" ht="15.75" customHeight="1" x14ac:dyDescent="0.25">
      <c r="B9" s="106">
        <f t="shared" ref="B9:B44" si="1">B8+1</f>
        <v>2021</v>
      </c>
      <c r="C9" s="306">
        <f t="shared" si="0"/>
        <v>250000</v>
      </c>
      <c r="D9" s="71">
        <f>C9*(1+0.07)^-($B9-'Global Assumptions'!$C$6)</f>
        <v>218359.68206830288</v>
      </c>
      <c r="E9" s="301">
        <f>IF($B9=$I$11,'G_Copeland Park Pier_Costs'!$J$31,0)</f>
        <v>0</v>
      </c>
      <c r="F9" s="71">
        <f>E9*(1+0.07)^-($B9-'Global Assumptions'!$C$6)</f>
        <v>0</v>
      </c>
      <c r="H9" s="64" t="s">
        <v>59</v>
      </c>
      <c r="I9" s="65">
        <v>20</v>
      </c>
      <c r="J9" s="105"/>
      <c r="M9" s="103"/>
    </row>
    <row r="10" spans="2:13" ht="15.75" customHeight="1" x14ac:dyDescent="0.25">
      <c r="B10" s="106">
        <f t="shared" si="1"/>
        <v>2022</v>
      </c>
      <c r="C10" s="306">
        <f t="shared" si="0"/>
        <v>250000</v>
      </c>
      <c r="D10" s="71">
        <f>C10*(1+0.07)^-($B10-'Global Assumptions'!$C$6)</f>
        <v>204074.46922271297</v>
      </c>
      <c r="E10" s="301">
        <f>IF($B10=$I$11,'G_Copeland Park Pier_Costs'!$J$31,0)</f>
        <v>0</v>
      </c>
      <c r="F10" s="71">
        <f>E10*(1+0.07)^-($B10-'Global Assumptions'!$C$6)</f>
        <v>0</v>
      </c>
      <c r="H10" s="64" t="s">
        <v>53</v>
      </c>
      <c r="I10" s="65">
        <f>I7+I8</f>
        <v>2023</v>
      </c>
      <c r="J10" s="295"/>
      <c r="M10" s="103"/>
    </row>
    <row r="11" spans="2:13" ht="15.75" customHeight="1" x14ac:dyDescent="0.25">
      <c r="B11" s="106">
        <f t="shared" si="1"/>
        <v>2023</v>
      </c>
      <c r="C11" s="306">
        <f t="shared" si="0"/>
        <v>0</v>
      </c>
      <c r="D11" s="71">
        <f>C11*(1+0.07)^-($B11-'Global Assumptions'!$C$6)</f>
        <v>0</v>
      </c>
      <c r="E11" s="301">
        <f>IF($B11=$I$11,'G_Copeland Park Pier_Costs'!$J$31,0)</f>
        <v>0</v>
      </c>
      <c r="F11" s="71">
        <f>E11*(1+0.07)^-($B11-'Global Assumptions'!$C$6)</f>
        <v>0</v>
      </c>
      <c r="H11" s="64" t="s">
        <v>43</v>
      </c>
      <c r="I11" s="65">
        <f>I10+I9-1</f>
        <v>2042</v>
      </c>
      <c r="J11" s="295"/>
      <c r="M11" s="103"/>
    </row>
    <row r="12" spans="2:13" ht="15.75" customHeight="1" x14ac:dyDescent="0.25">
      <c r="B12" s="106">
        <f t="shared" si="1"/>
        <v>2024</v>
      </c>
      <c r="C12" s="306">
        <f t="shared" si="0"/>
        <v>0</v>
      </c>
      <c r="D12" s="71">
        <f>C12*(1+0.07)^-($B12-'Global Assumptions'!$C$6)</f>
        <v>0</v>
      </c>
      <c r="E12" s="301">
        <f>IF($B12=$I$11,'G_Copeland Park Pier_Costs'!$J$31,0)</f>
        <v>0</v>
      </c>
      <c r="F12" s="71">
        <f>E12*(1+0.07)^-($B12-'Global Assumptions'!$C$6)</f>
        <v>0</v>
      </c>
      <c r="H12" s="64" t="s">
        <v>75</v>
      </c>
      <c r="I12" s="65">
        <v>20</v>
      </c>
      <c r="J12" s="295"/>
      <c r="M12" s="103"/>
    </row>
    <row r="13" spans="2:13" ht="15.75" customHeight="1" x14ac:dyDescent="0.25">
      <c r="B13" s="106">
        <f t="shared" si="1"/>
        <v>2025</v>
      </c>
      <c r="C13" s="306">
        <f t="shared" si="0"/>
        <v>0</v>
      </c>
      <c r="D13" s="71">
        <f>C13*(1+0.07)^-($B13-'Global Assumptions'!$C$6)</f>
        <v>0</v>
      </c>
      <c r="E13" s="301">
        <f>IF($B13=$I$11,'G_Copeland Park Pier_Costs'!$J$31,0)</f>
        <v>0</v>
      </c>
      <c r="F13" s="71">
        <f>E13*(1+0.07)^-($B13-'Global Assumptions'!$C$6)</f>
        <v>0</v>
      </c>
      <c r="H13" s="129"/>
      <c r="I13" s="130"/>
      <c r="J13" s="295"/>
      <c r="M13" s="103"/>
    </row>
    <row r="14" spans="2:13" ht="15.75" customHeight="1" x14ac:dyDescent="0.25">
      <c r="B14" s="106">
        <f t="shared" si="1"/>
        <v>2026</v>
      </c>
      <c r="C14" s="306">
        <f t="shared" si="0"/>
        <v>0</v>
      </c>
      <c r="D14" s="71">
        <f>C14*(1+0.07)^-($B14-'Global Assumptions'!$C$6)</f>
        <v>0</v>
      </c>
      <c r="E14" s="301">
        <f>IF($B14=$I$11,'G_Copeland Park Pier_Costs'!$J$31,0)</f>
        <v>0</v>
      </c>
      <c r="F14" s="71">
        <f>E14*(1+0.07)^-($B14-'Global Assumptions'!$C$6)</f>
        <v>0</v>
      </c>
      <c r="H14" s="22" t="s">
        <v>34</v>
      </c>
      <c r="I14" s="295"/>
      <c r="J14" s="124"/>
      <c r="K14" s="22"/>
    </row>
    <row r="15" spans="2:13" ht="15.75" customHeight="1" x14ac:dyDescent="0.25">
      <c r="B15" s="106">
        <f t="shared" si="1"/>
        <v>2027</v>
      </c>
      <c r="C15" s="306">
        <f t="shared" si="0"/>
        <v>0</v>
      </c>
      <c r="D15" s="71">
        <f>C15*(1+0.07)^-($B15-'Global Assumptions'!$C$6)</f>
        <v>0</v>
      </c>
      <c r="E15" s="301">
        <f>IF($B15=$I$11,'G_Copeland Park Pier_Costs'!$J$31,0)</f>
        <v>0</v>
      </c>
      <c r="F15" s="71">
        <f>E15*(1+0.07)^-($B15-'Global Assumptions'!$C$6)</f>
        <v>0</v>
      </c>
      <c r="H15" s="397" t="s">
        <v>4</v>
      </c>
      <c r="I15" s="390" t="s">
        <v>5</v>
      </c>
      <c r="J15" s="393" t="s">
        <v>261</v>
      </c>
      <c r="K15" s="73"/>
    </row>
    <row r="16" spans="2:13" ht="15.75" customHeight="1" x14ac:dyDescent="0.25">
      <c r="B16" s="106">
        <f t="shared" si="1"/>
        <v>2028</v>
      </c>
      <c r="C16" s="306">
        <f t="shared" si="0"/>
        <v>0</v>
      </c>
      <c r="D16" s="71">
        <f>C16*(1+0.07)^-($B16-'Global Assumptions'!$C$6)</f>
        <v>0</v>
      </c>
      <c r="E16" s="301">
        <f>IF($B16=$I$11,'G_Copeland Park Pier_Costs'!$J$31,0)</f>
        <v>0</v>
      </c>
      <c r="F16" s="71">
        <f>E16*(1+0.07)^-($B16-'Global Assumptions'!$C$6)</f>
        <v>0</v>
      </c>
      <c r="H16" s="398"/>
      <c r="I16" s="391"/>
      <c r="J16" s="394"/>
      <c r="K16" s="73"/>
    </row>
    <row r="17" spans="2:11" ht="15.75" customHeight="1" x14ac:dyDescent="0.25">
      <c r="B17" s="106">
        <f t="shared" si="1"/>
        <v>2029</v>
      </c>
      <c r="C17" s="306">
        <f t="shared" si="0"/>
        <v>0</v>
      </c>
      <c r="D17" s="71">
        <f>C17*(1+0.07)^-($B17-'Global Assumptions'!$C$6)</f>
        <v>0</v>
      </c>
      <c r="E17" s="301">
        <f>IF($B17=$I$11,'G_Copeland Park Pier_Costs'!$J$31,0)</f>
        <v>0</v>
      </c>
      <c r="F17" s="71">
        <f>E17*(1+0.07)^-($B17-'Global Assumptions'!$C$6)</f>
        <v>0</v>
      </c>
      <c r="H17" s="399"/>
      <c r="I17" s="392"/>
      <c r="J17" s="395"/>
      <c r="K17" s="73"/>
    </row>
    <row r="18" spans="2:11" ht="15.75" customHeight="1" x14ac:dyDescent="0.25">
      <c r="B18" s="106">
        <f t="shared" si="1"/>
        <v>2030</v>
      </c>
      <c r="C18" s="306">
        <f t="shared" si="0"/>
        <v>0</v>
      </c>
      <c r="D18" s="71">
        <f>C18*(1+0.07)^-($B18-'Global Assumptions'!$C$6)</f>
        <v>0</v>
      </c>
      <c r="E18" s="301">
        <f>IF($B18=$I$11,'G_Copeland Park Pier_Costs'!$J$31,0)</f>
        <v>0</v>
      </c>
      <c r="F18" s="71">
        <f>E18*(1+0.07)^-($B18-'Global Assumptions'!$C$6)</f>
        <v>0</v>
      </c>
      <c r="H18" s="153" t="s">
        <v>258</v>
      </c>
      <c r="I18" s="28">
        <v>20</v>
      </c>
      <c r="J18" s="62">
        <v>500000</v>
      </c>
      <c r="K18" s="74"/>
    </row>
    <row r="19" spans="2:11" ht="15.75" customHeight="1" x14ac:dyDescent="0.25">
      <c r="B19" s="106">
        <f t="shared" si="1"/>
        <v>2031</v>
      </c>
      <c r="C19" s="306">
        <f t="shared" si="0"/>
        <v>0</v>
      </c>
      <c r="D19" s="71">
        <f>C19*(1+0.07)^-($B19-'Global Assumptions'!$C$6)</f>
        <v>0</v>
      </c>
      <c r="E19" s="301">
        <f>IF($B19=$I$11,'G_Copeland Park Pier_Costs'!$J$31,0)</f>
        <v>0</v>
      </c>
      <c r="F19" s="71">
        <f>E19*(1+0.07)^-($B19-'Global Assumptions'!$C$6)</f>
        <v>0</v>
      </c>
      <c r="H19" s="153"/>
      <c r="I19" s="28"/>
      <c r="J19" s="62"/>
      <c r="K19" s="74"/>
    </row>
    <row r="20" spans="2:11" ht="15.75" customHeight="1" x14ac:dyDescent="0.25">
      <c r="B20" s="106">
        <f t="shared" si="1"/>
        <v>2032</v>
      </c>
      <c r="C20" s="306">
        <f t="shared" si="0"/>
        <v>0</v>
      </c>
      <c r="D20" s="71">
        <f>C20*(1+0.07)^-($B20-'Global Assumptions'!$C$6)</f>
        <v>0</v>
      </c>
      <c r="E20" s="301">
        <f>IF($B20=$I$11,'G_Copeland Park Pier_Costs'!$J$31,0)</f>
        <v>0</v>
      </c>
      <c r="F20" s="71">
        <f>E20*(1+0.07)^-($B20-'Global Assumptions'!$C$6)</f>
        <v>0</v>
      </c>
      <c r="H20" s="153"/>
      <c r="I20" s="28"/>
      <c r="J20" s="62"/>
      <c r="K20" s="74"/>
    </row>
    <row r="21" spans="2:11" ht="15.75" customHeight="1" x14ac:dyDescent="0.25">
      <c r="B21" s="106">
        <f t="shared" si="1"/>
        <v>2033</v>
      </c>
      <c r="C21" s="306">
        <f t="shared" si="0"/>
        <v>0</v>
      </c>
      <c r="D21" s="71">
        <f>C21*(1+0.07)^-($B21-'Global Assumptions'!$C$6)</f>
        <v>0</v>
      </c>
      <c r="E21" s="301">
        <f>IF($B21=$I$11,'G_Copeland Park Pier_Costs'!$J$31,0)</f>
        <v>0</v>
      </c>
      <c r="F21" s="71">
        <f>E21*(1+0.07)^-($B21-'Global Assumptions'!$C$6)</f>
        <v>0</v>
      </c>
      <c r="H21" s="396" t="s">
        <v>30</v>
      </c>
      <c r="I21" s="396"/>
      <c r="J21" s="26">
        <f>SUM(J18:J20)</f>
        <v>500000</v>
      </c>
      <c r="K21" s="75"/>
    </row>
    <row r="22" spans="2:11" ht="15.75" customHeight="1" x14ac:dyDescent="0.25">
      <c r="B22" s="106">
        <f t="shared" si="1"/>
        <v>2034</v>
      </c>
      <c r="C22" s="306">
        <f t="shared" si="0"/>
        <v>0</v>
      </c>
      <c r="D22" s="71">
        <f>C22*(1+0.07)^-($B22-'Global Assumptions'!$C$6)</f>
        <v>0</v>
      </c>
      <c r="E22" s="301">
        <f>IF($B22=$I$11,'G_Copeland Park Pier_Costs'!$J$31,0)</f>
        <v>0</v>
      </c>
      <c r="F22" s="71">
        <f>E22*(1+0.07)^-($B22-'Global Assumptions'!$C$6)</f>
        <v>0</v>
      </c>
      <c r="H22" s="295"/>
      <c r="I22" s="295"/>
      <c r="J22" s="295"/>
    </row>
    <row r="23" spans="2:11" ht="15.75" customHeight="1" x14ac:dyDescent="0.25">
      <c r="B23" s="106">
        <f t="shared" si="1"/>
        <v>2035</v>
      </c>
      <c r="C23" s="306">
        <f t="shared" si="0"/>
        <v>0</v>
      </c>
      <c r="D23" s="71">
        <f>C23*(1+0.07)^-($B23-'Global Assumptions'!$C$6)</f>
        <v>0</v>
      </c>
      <c r="E23" s="301">
        <f>IF($B23=$I$11,'G_Copeland Park Pier_Costs'!$J$31,0)</f>
        <v>0</v>
      </c>
      <c r="F23" s="71">
        <f>E23*(1+0.07)^-($B23-'Global Assumptions'!$C$6)</f>
        <v>0</v>
      </c>
      <c r="H23" s="295"/>
      <c r="I23" s="295"/>
      <c r="J23" s="295"/>
    </row>
    <row r="24" spans="2:11" ht="15.75" customHeight="1" x14ac:dyDescent="0.25">
      <c r="B24" s="106">
        <f t="shared" si="1"/>
        <v>2036</v>
      </c>
      <c r="C24" s="306">
        <f t="shared" si="0"/>
        <v>0</v>
      </c>
      <c r="D24" s="71">
        <f>C24*(1+0.07)^-($B24-'Global Assumptions'!$C$6)</f>
        <v>0</v>
      </c>
      <c r="E24" s="301">
        <f>IF($B24=$I$11,'G_Copeland Park Pier_Costs'!$J$31,0)</f>
        <v>0</v>
      </c>
      <c r="F24" s="71">
        <f>E24*(1+0.07)^-($B24-'Global Assumptions'!$C$6)</f>
        <v>0</v>
      </c>
      <c r="H24" s="151" t="s">
        <v>49</v>
      </c>
      <c r="I24" s="7"/>
      <c r="J24" s="124"/>
      <c r="K24" s="22"/>
    </row>
    <row r="25" spans="2:11" ht="15.75" customHeight="1" x14ac:dyDescent="0.25">
      <c r="B25" s="106">
        <f t="shared" si="1"/>
        <v>2037</v>
      </c>
      <c r="C25" s="306">
        <f t="shared" si="0"/>
        <v>0</v>
      </c>
      <c r="D25" s="71">
        <f>C25*(1+0.07)^-($B25-'Global Assumptions'!$C$6)</f>
        <v>0</v>
      </c>
      <c r="E25" s="301">
        <f>IF($B25=$I$11,'G_Copeland Park Pier_Costs'!$J$31,0)</f>
        <v>0</v>
      </c>
      <c r="F25" s="71">
        <f>E25*(1+0.07)^-($B25-'Global Assumptions'!$C$6)</f>
        <v>0</v>
      </c>
      <c r="H25" s="397" t="s">
        <v>4</v>
      </c>
      <c r="I25" s="400" t="s">
        <v>21</v>
      </c>
      <c r="J25" s="400" t="s">
        <v>22</v>
      </c>
      <c r="K25" s="76"/>
    </row>
    <row r="26" spans="2:11" ht="15.75" customHeight="1" x14ac:dyDescent="0.25">
      <c r="B26" s="106">
        <f t="shared" si="1"/>
        <v>2038</v>
      </c>
      <c r="C26" s="306">
        <f t="shared" si="0"/>
        <v>0</v>
      </c>
      <c r="D26" s="71">
        <f>C26*(1+0.07)^-($B26-'Global Assumptions'!$C$6)</f>
        <v>0</v>
      </c>
      <c r="E26" s="301">
        <f>IF($B26=$I$11,'G_Copeland Park Pier_Costs'!$J$31,0)</f>
        <v>0</v>
      </c>
      <c r="F26" s="71">
        <f>E26*(1+0.07)^-($B26-'Global Assumptions'!$C$6)</f>
        <v>0</v>
      </c>
      <c r="H26" s="398"/>
      <c r="I26" s="401"/>
      <c r="J26" s="401"/>
      <c r="K26" s="76"/>
    </row>
    <row r="27" spans="2:11" ht="15.75" customHeight="1" x14ac:dyDescent="0.25">
      <c r="B27" s="106">
        <f t="shared" si="1"/>
        <v>2039</v>
      </c>
      <c r="C27" s="306">
        <f t="shared" si="0"/>
        <v>0</v>
      </c>
      <c r="D27" s="71">
        <f>C27*(1+0.07)^-($B27-'Global Assumptions'!$C$6)</f>
        <v>0</v>
      </c>
      <c r="E27" s="301">
        <f>IF($B27=$I$11,'G_Copeland Park Pier_Costs'!$J$31,0)</f>
        <v>0</v>
      </c>
      <c r="F27" s="71">
        <f>E27*(1+0.07)^-($B27-'Global Assumptions'!$C$6)</f>
        <v>0</v>
      </c>
      <c r="H27" s="399"/>
      <c r="I27" s="402"/>
      <c r="J27" s="402"/>
      <c r="K27" s="76"/>
    </row>
    <row r="28" spans="2:11" ht="15.75" customHeight="1" x14ac:dyDescent="0.25">
      <c r="B28" s="106">
        <f t="shared" si="1"/>
        <v>2040</v>
      </c>
      <c r="C28" s="306">
        <f t="shared" si="0"/>
        <v>0</v>
      </c>
      <c r="D28" s="71">
        <f>C28*(1+0.07)^-($B28-'Global Assumptions'!$C$6)</f>
        <v>0</v>
      </c>
      <c r="E28" s="301">
        <f>IF($B28=$I$11,'G_Copeland Park Pier_Costs'!$J$31,0)</f>
        <v>0</v>
      </c>
      <c r="F28" s="71">
        <f>E28*(1+0.07)^-($B28-'Global Assumptions'!$C$6)</f>
        <v>0</v>
      </c>
      <c r="H28" s="153" t="s">
        <v>258</v>
      </c>
      <c r="I28" s="78">
        <v>0</v>
      </c>
      <c r="J28" s="79">
        <f>$I28*J18</f>
        <v>0</v>
      </c>
      <c r="K28" s="77"/>
    </row>
    <row r="29" spans="2:11" ht="15.75" customHeight="1" x14ac:dyDescent="0.25">
      <c r="B29" s="106">
        <f t="shared" si="1"/>
        <v>2041</v>
      </c>
      <c r="C29" s="306">
        <f t="shared" si="0"/>
        <v>0</v>
      </c>
      <c r="D29" s="71">
        <f>C29*(1+0.07)^-($B29-'Global Assumptions'!$C$6)</f>
        <v>0</v>
      </c>
      <c r="E29" s="301">
        <f>IF($B29=$I$11,'G_Copeland Park Pier_Costs'!$J$31,0)</f>
        <v>0</v>
      </c>
      <c r="F29" s="71">
        <f>E29*(1+0.07)^-($B29-'Global Assumptions'!$C$6)</f>
        <v>0</v>
      </c>
      <c r="H29" s="153"/>
      <c r="I29" s="78"/>
      <c r="J29" s="79"/>
      <c r="K29" s="77"/>
    </row>
    <row r="30" spans="2:11" ht="15.75" customHeight="1" x14ac:dyDescent="0.25">
      <c r="B30" s="106">
        <f t="shared" si="1"/>
        <v>2042</v>
      </c>
      <c r="C30" s="306">
        <f t="shared" si="0"/>
        <v>0</v>
      </c>
      <c r="D30" s="71">
        <f>C30*(1+0.07)^-($B30-'Global Assumptions'!$C$6)</f>
        <v>0</v>
      </c>
      <c r="E30" s="301">
        <f>IF($B30=$I$11,'G_Copeland Park Pier_Costs'!$J$31,0)</f>
        <v>0</v>
      </c>
      <c r="F30" s="71">
        <f>E30*(1+0.07)^-($B30-'Global Assumptions'!$C$6)</f>
        <v>0</v>
      </c>
      <c r="H30" s="153"/>
      <c r="I30" s="78"/>
      <c r="J30" s="79"/>
      <c r="K30" s="77"/>
    </row>
    <row r="31" spans="2:11" ht="15.75" customHeight="1" x14ac:dyDescent="0.25">
      <c r="B31" s="106">
        <f t="shared" si="1"/>
        <v>2043</v>
      </c>
      <c r="C31" s="306">
        <f t="shared" si="0"/>
        <v>0</v>
      </c>
      <c r="D31" s="71">
        <f>C31*(1+0.07)^-($B31-'Global Assumptions'!$C$6)</f>
        <v>0</v>
      </c>
      <c r="E31" s="301">
        <f>IF($B31=$I$11,'G_Copeland Park Pier_Costs'!$J$31,0)</f>
        <v>0</v>
      </c>
      <c r="F31" s="71">
        <f>E31*(1+0.07)^-($B31-'Global Assumptions'!$C$6)</f>
        <v>0</v>
      </c>
      <c r="H31" s="388" t="s">
        <v>27</v>
      </c>
      <c r="I31" s="389"/>
      <c r="J31" s="27">
        <f>SUM(J28:J30)</f>
        <v>0</v>
      </c>
      <c r="K31" s="75"/>
    </row>
    <row r="32" spans="2:11" ht="15.75" customHeight="1" x14ac:dyDescent="0.25">
      <c r="B32" s="106">
        <f t="shared" si="1"/>
        <v>2044</v>
      </c>
      <c r="C32" s="306">
        <f t="shared" si="0"/>
        <v>0</v>
      </c>
      <c r="D32" s="71">
        <f>C32*(1+0.07)^-($B32-'Global Assumptions'!$C$6)</f>
        <v>0</v>
      </c>
      <c r="E32" s="301">
        <f>IF($B32=$I$11,'G_Copeland Park Pier_Costs'!$J$31,0)</f>
        <v>0</v>
      </c>
      <c r="F32" s="71">
        <f>E32*(1+0.07)^-($B32-'Global Assumptions'!$C$6)</f>
        <v>0</v>
      </c>
    </row>
    <row r="33" spans="1:9" ht="15.75" customHeight="1" x14ac:dyDescent="0.25">
      <c r="B33" s="106">
        <f t="shared" si="1"/>
        <v>2045</v>
      </c>
      <c r="C33" s="306">
        <f t="shared" si="0"/>
        <v>0</v>
      </c>
      <c r="D33" s="71">
        <f>C33*(1+0.07)^-($B33-'Global Assumptions'!$C$6)</f>
        <v>0</v>
      </c>
      <c r="E33" s="301">
        <f>IF($B33=$I$11,'G_Copeland Park Pier_Costs'!$J$31,0)</f>
        <v>0</v>
      </c>
      <c r="F33" s="71">
        <f>E33*(1+0.07)^-($B33-'Global Assumptions'!$C$6)</f>
        <v>0</v>
      </c>
    </row>
    <row r="34" spans="1:9" ht="15.75" customHeight="1" x14ac:dyDescent="0.25">
      <c r="B34" s="106">
        <f t="shared" si="1"/>
        <v>2046</v>
      </c>
      <c r="C34" s="306">
        <f t="shared" si="0"/>
        <v>0</v>
      </c>
      <c r="D34" s="71">
        <f>C34*(1+0.07)^-($B34-'Global Assumptions'!$C$6)</f>
        <v>0</v>
      </c>
      <c r="E34" s="301">
        <f>IF($B34=$I$11,'G_Copeland Park Pier_Costs'!$J$31,0)</f>
        <v>0</v>
      </c>
      <c r="F34" s="71">
        <f>E34*(1+0.07)^-($B34-'Global Assumptions'!$C$6)</f>
        <v>0</v>
      </c>
    </row>
    <row r="35" spans="1:9" ht="15.75" customHeight="1" x14ac:dyDescent="0.25">
      <c r="B35" s="106">
        <f t="shared" si="1"/>
        <v>2047</v>
      </c>
      <c r="C35" s="306">
        <f t="shared" si="0"/>
        <v>0</v>
      </c>
      <c r="D35" s="71">
        <f>C35*(1+0.07)^-($B35-'Global Assumptions'!$C$6)</f>
        <v>0</v>
      </c>
      <c r="E35" s="301">
        <f>IF($B35=$I$11,'G_Copeland Park Pier_Costs'!$J$31,0)</f>
        <v>0</v>
      </c>
      <c r="F35" s="71">
        <f>E35*(1+0.07)^-($B35-'Global Assumptions'!$C$6)</f>
        <v>0</v>
      </c>
    </row>
    <row r="36" spans="1:9" ht="15.75" customHeight="1" x14ac:dyDescent="0.25">
      <c r="B36" s="106">
        <f t="shared" si="1"/>
        <v>2048</v>
      </c>
      <c r="C36" s="306">
        <f t="shared" si="0"/>
        <v>0</v>
      </c>
      <c r="D36" s="71">
        <f>C36*(1+0.07)^-($B36-'Global Assumptions'!$C$6)</f>
        <v>0</v>
      </c>
      <c r="E36" s="301">
        <f>IF($B36=$I$11,'G_Copeland Park Pier_Costs'!$J$31,0)</f>
        <v>0</v>
      </c>
      <c r="F36" s="71">
        <f>E36*(1+0.07)^-($B36-'Global Assumptions'!$C$6)</f>
        <v>0</v>
      </c>
    </row>
    <row r="37" spans="1:9" ht="15.75" customHeight="1" x14ac:dyDescent="0.25">
      <c r="B37" s="106">
        <f t="shared" si="1"/>
        <v>2049</v>
      </c>
      <c r="C37" s="306">
        <f t="shared" si="0"/>
        <v>0</v>
      </c>
      <c r="D37" s="71">
        <f>C37*(1+0.07)^-($B37-'Global Assumptions'!$C$6)</f>
        <v>0</v>
      </c>
      <c r="E37" s="301">
        <f>IF($B37=$I$11,'G_Copeland Park Pier_Costs'!$J$31,0)</f>
        <v>0</v>
      </c>
      <c r="F37" s="71">
        <f>E37*(1+0.07)^-($B37-'Global Assumptions'!$C$6)</f>
        <v>0</v>
      </c>
    </row>
    <row r="38" spans="1:9" ht="15.75" customHeight="1" x14ac:dyDescent="0.25">
      <c r="B38" s="106">
        <f t="shared" si="1"/>
        <v>2050</v>
      </c>
      <c r="C38" s="306">
        <f t="shared" si="0"/>
        <v>0</v>
      </c>
      <c r="D38" s="71">
        <f>C38*(1+0.07)^-($B38-'Global Assumptions'!$C$6)</f>
        <v>0</v>
      </c>
      <c r="E38" s="301">
        <f>IF($B38=$I$11,'G_Copeland Park Pier_Costs'!$J$31,0)</f>
        <v>0</v>
      </c>
      <c r="F38" s="71">
        <f>E38*(1+0.07)^-($B38-'Global Assumptions'!$C$6)</f>
        <v>0</v>
      </c>
    </row>
    <row r="39" spans="1:9" ht="15.75" customHeight="1" x14ac:dyDescent="0.25">
      <c r="B39" s="106">
        <f t="shared" si="1"/>
        <v>2051</v>
      </c>
      <c r="C39" s="306">
        <f t="shared" si="0"/>
        <v>0</v>
      </c>
      <c r="D39" s="71">
        <f>C39*(1+0.07)^-($B39-'Global Assumptions'!$C$6)</f>
        <v>0</v>
      </c>
      <c r="E39" s="301">
        <f>IF($B39=$I$11,'G_Copeland Park Pier_Costs'!$J$31,0)</f>
        <v>0</v>
      </c>
      <c r="F39" s="71">
        <f>E39*(1+0.07)^-($B39-'Global Assumptions'!$C$6)</f>
        <v>0</v>
      </c>
      <c r="G39" s="14"/>
    </row>
    <row r="40" spans="1:9" ht="15.75" customHeight="1" x14ac:dyDescent="0.25">
      <c r="B40" s="106">
        <f t="shared" si="1"/>
        <v>2052</v>
      </c>
      <c r="C40" s="306">
        <f t="shared" si="0"/>
        <v>0</v>
      </c>
      <c r="D40" s="71">
        <f>C40*(1+0.07)^-($B40-'Global Assumptions'!$C$6)</f>
        <v>0</v>
      </c>
      <c r="E40" s="301">
        <f>IF($B40=$I$11,'G_Copeland Park Pier_Costs'!$J$31,0)</f>
        <v>0</v>
      </c>
      <c r="F40" s="71">
        <f>E40*(1+0.07)^-($B40-'Global Assumptions'!$C$6)</f>
        <v>0</v>
      </c>
    </row>
    <row r="41" spans="1:9" ht="15.75" customHeight="1" x14ac:dyDescent="0.25">
      <c r="B41" s="106">
        <f t="shared" si="1"/>
        <v>2053</v>
      </c>
      <c r="C41" s="306">
        <f t="shared" si="0"/>
        <v>0</v>
      </c>
      <c r="D41" s="71">
        <f>C41*(1+0.07)^-($B41-'Global Assumptions'!$C$6)</f>
        <v>0</v>
      </c>
      <c r="E41" s="301">
        <f>IF($B41=$I$11,'G_Copeland Park Pier_Costs'!$J$31,0)</f>
        <v>0</v>
      </c>
      <c r="F41" s="71">
        <f>E41*(1+0.07)^-($B41-'Global Assumptions'!$C$6)</f>
        <v>0</v>
      </c>
    </row>
    <row r="42" spans="1:9" ht="15.75" customHeight="1" x14ac:dyDescent="0.25">
      <c r="B42" s="106">
        <f t="shared" si="1"/>
        <v>2054</v>
      </c>
      <c r="C42" s="306">
        <f t="shared" si="0"/>
        <v>0</v>
      </c>
      <c r="D42" s="71">
        <f>C42*(1+0.07)^-($B42-'Global Assumptions'!$C$6)</f>
        <v>0</v>
      </c>
      <c r="E42" s="301">
        <f>IF($B42=$I$11,'G_Copeland Park Pier_Costs'!$J$31,0)</f>
        <v>0</v>
      </c>
      <c r="F42" s="71">
        <f>E42*(1+0.07)^-($B42-'Global Assumptions'!$C$6)</f>
        <v>0</v>
      </c>
    </row>
    <row r="43" spans="1:9" ht="15.75" customHeight="1" x14ac:dyDescent="0.25">
      <c r="A43" s="14"/>
      <c r="B43" s="106">
        <f t="shared" si="1"/>
        <v>2055</v>
      </c>
      <c r="C43" s="306">
        <f t="shared" si="0"/>
        <v>0</v>
      </c>
      <c r="D43" s="71">
        <f>C43*(1+0.07)^-($B43-'Global Assumptions'!$C$6)</f>
        <v>0</v>
      </c>
      <c r="E43" s="301">
        <f>IF($B43=$I$11,'G_Copeland Park Pier_Costs'!$J$31,0)</f>
        <v>0</v>
      </c>
      <c r="F43" s="71">
        <f>E43*(1+0.07)^-($B43-'Global Assumptions'!$C$6)</f>
        <v>0</v>
      </c>
    </row>
    <row r="44" spans="1:9" ht="15.75" customHeight="1" thickBot="1" x14ac:dyDescent="0.3">
      <c r="B44" s="107">
        <f t="shared" si="1"/>
        <v>2056</v>
      </c>
      <c r="C44" s="307">
        <f t="shared" si="0"/>
        <v>0</v>
      </c>
      <c r="D44" s="72">
        <f>C44*(1+0.07)^-($B44-'Global Assumptions'!$C$6)</f>
        <v>0</v>
      </c>
      <c r="E44" s="311">
        <f>IF($B44=$I$11,'G_Copeland Park Pier_Costs'!$J$31,0)</f>
        <v>0</v>
      </c>
      <c r="F44" s="72">
        <f>E44*(1+0.07)^-($B44-'Global Assumptions'!$C$6)</f>
        <v>0</v>
      </c>
    </row>
    <row r="45" spans="1:9" ht="15.75" customHeight="1" thickBot="1" x14ac:dyDescent="0.3">
      <c r="C45" s="126" t="s">
        <v>63</v>
      </c>
      <c r="D45" s="92">
        <f>SUM(D7:D44)</f>
        <v>422434.15129101585</v>
      </c>
      <c r="E45" s="126" t="s">
        <v>64</v>
      </c>
      <c r="F45" s="92">
        <f>SUM(F7:F44)</f>
        <v>0</v>
      </c>
    </row>
    <row r="46" spans="1:9" ht="15" customHeight="1" x14ac:dyDescent="0.25"/>
    <row r="48" spans="1:9" ht="15.75" thickBot="1" x14ac:dyDescent="0.3">
      <c r="B48" s="15" t="s">
        <v>3</v>
      </c>
      <c r="C48" s="14"/>
      <c r="D48" s="14"/>
      <c r="E48" s="14"/>
      <c r="F48" s="14"/>
      <c r="I48" s="151" t="s">
        <v>62</v>
      </c>
    </row>
    <row r="49" spans="1:10" ht="16.5" customHeight="1" thickBot="1" x14ac:dyDescent="0.3">
      <c r="A49" s="96" t="s">
        <v>24</v>
      </c>
      <c r="B49" s="367" t="s">
        <v>324</v>
      </c>
      <c r="C49" s="367"/>
      <c r="D49" s="367"/>
      <c r="E49" s="367"/>
      <c r="F49" s="367"/>
      <c r="I49" s="11"/>
      <c r="J49" s="161" t="s">
        <v>39</v>
      </c>
    </row>
    <row r="50" spans="1:10" x14ac:dyDescent="0.25">
      <c r="B50" s="367"/>
      <c r="C50" s="367"/>
      <c r="D50" s="367"/>
      <c r="E50" s="367"/>
      <c r="F50" s="367"/>
      <c r="I50" s="12" t="s">
        <v>18</v>
      </c>
      <c r="J50" s="98">
        <f>'G_Copeland Park Pier Benefits'!E37</f>
        <v>437135.54568410042</v>
      </c>
    </row>
    <row r="51" spans="1:10" ht="15" customHeight="1" thickBot="1" x14ac:dyDescent="0.3">
      <c r="B51" s="367"/>
      <c r="C51" s="367"/>
      <c r="D51" s="367"/>
      <c r="E51" s="367"/>
      <c r="F51" s="367"/>
      <c r="I51" s="13" t="s">
        <v>19</v>
      </c>
      <c r="J51" s="99">
        <f>D45</f>
        <v>422434.15129101585</v>
      </c>
    </row>
    <row r="52" spans="1:10" ht="15.75" thickTop="1" x14ac:dyDescent="0.25">
      <c r="B52" s="367"/>
      <c r="C52" s="367"/>
      <c r="D52" s="367"/>
      <c r="E52" s="367"/>
      <c r="F52" s="367"/>
      <c r="I52" s="87" t="s">
        <v>20</v>
      </c>
      <c r="J52" s="88">
        <f>+J50/J51</f>
        <v>1.0348016237516666</v>
      </c>
    </row>
    <row r="53" spans="1:10" ht="15.75" thickBot="1" x14ac:dyDescent="0.3">
      <c r="B53" s="367"/>
      <c r="C53" s="367"/>
      <c r="D53" s="367"/>
      <c r="E53" s="367"/>
      <c r="F53" s="367"/>
      <c r="I53" s="89" t="s">
        <v>50</v>
      </c>
      <c r="J53" s="90">
        <f>J50-J51</f>
        <v>14701.394393084571</v>
      </c>
    </row>
    <row r="54" spans="1:10" x14ac:dyDescent="0.25">
      <c r="A54" s="295"/>
      <c r="B54" s="295"/>
      <c r="C54" s="295"/>
      <c r="D54" s="295"/>
      <c r="E54" s="295"/>
      <c r="F54" s="295"/>
      <c r="G54" s="295"/>
    </row>
    <row r="55" spans="1:10" ht="15" customHeight="1" x14ac:dyDescent="0.25">
      <c r="A55" s="96" t="s">
        <v>23</v>
      </c>
      <c r="B55" s="367" t="s">
        <v>52</v>
      </c>
      <c r="C55" s="367"/>
      <c r="D55" s="367"/>
      <c r="E55" s="367"/>
      <c r="F55" s="367"/>
    </row>
    <row r="56" spans="1:10" x14ac:dyDescent="0.25">
      <c r="A56" s="50"/>
      <c r="B56" s="367"/>
      <c r="C56" s="367"/>
      <c r="D56" s="367"/>
      <c r="E56" s="367"/>
      <c r="F56" s="367"/>
    </row>
    <row r="57" spans="1:10" x14ac:dyDescent="0.25">
      <c r="A57" s="50"/>
      <c r="B57" s="367"/>
      <c r="C57" s="367"/>
      <c r="D57" s="367"/>
      <c r="E57" s="367"/>
      <c r="F57" s="367"/>
    </row>
    <row r="58" spans="1:10" x14ac:dyDescent="0.25">
      <c r="A58" s="96"/>
      <c r="B58" s="367"/>
      <c r="C58" s="367"/>
      <c r="D58" s="367"/>
      <c r="E58" s="367"/>
      <c r="F58" s="367"/>
    </row>
    <row r="59" spans="1:10" x14ac:dyDescent="0.25">
      <c r="B59" s="367"/>
      <c r="C59" s="367"/>
      <c r="D59" s="367"/>
      <c r="E59" s="367"/>
      <c r="F59" s="367"/>
    </row>
    <row r="60" spans="1:10" x14ac:dyDescent="0.25">
      <c r="B60" s="367"/>
      <c r="C60" s="367"/>
      <c r="D60" s="367"/>
      <c r="E60" s="367"/>
      <c r="F60" s="367"/>
    </row>
    <row r="61" spans="1:10" ht="15" customHeight="1" x14ac:dyDescent="0.25">
      <c r="A61" s="152"/>
      <c r="B61" s="367"/>
      <c r="C61" s="367"/>
      <c r="D61" s="367"/>
      <c r="E61" s="367"/>
      <c r="F61" s="367"/>
    </row>
    <row r="62" spans="1:10" x14ac:dyDescent="0.25">
      <c r="A62" s="50"/>
      <c r="B62" s="367"/>
      <c r="C62" s="367"/>
      <c r="D62" s="367"/>
      <c r="E62" s="367"/>
      <c r="F62" s="367"/>
    </row>
    <row r="63" spans="1:10" x14ac:dyDescent="0.25">
      <c r="B63" s="367"/>
      <c r="C63" s="367"/>
      <c r="D63" s="367"/>
      <c r="E63" s="367"/>
      <c r="F63" s="367"/>
    </row>
  </sheetData>
  <mergeCells count="15">
    <mergeCell ref="H31:I31"/>
    <mergeCell ref="B49:F53"/>
    <mergeCell ref="B55:F63"/>
    <mergeCell ref="I15:I17"/>
    <mergeCell ref="J15:J17"/>
    <mergeCell ref="H21:I21"/>
    <mergeCell ref="H25:H27"/>
    <mergeCell ref="I25:I27"/>
    <mergeCell ref="J25:J27"/>
    <mergeCell ref="H15:H17"/>
    <mergeCell ref="B5:B6"/>
    <mergeCell ref="C5:C6"/>
    <mergeCell ref="D5:D6"/>
    <mergeCell ref="E5:E6"/>
    <mergeCell ref="F5:F6"/>
  </mergeCells>
  <printOptions horizontalCentered="1" verticalCentered="1"/>
  <pageMargins left="0.25" right="0.25" top="0.75" bottom="0.75" header="0.3" footer="0.3"/>
  <pageSetup scale="5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ACE54-270B-4690-99DD-3DFFBCA097D7}">
  <sheetPr>
    <tabColor rgb="FF00B050"/>
    <pageSetUpPr fitToPage="1"/>
  </sheetPr>
  <dimension ref="A1:Q79"/>
  <sheetViews>
    <sheetView view="pageBreakPreview" zoomScale="85" zoomScaleNormal="85" zoomScaleSheetLayoutView="85" workbookViewId="0">
      <selection activeCell="N24" sqref="N24"/>
    </sheetView>
  </sheetViews>
  <sheetFormatPr defaultColWidth="9.140625" defaultRowHeight="15" x14ac:dyDescent="0.25"/>
  <cols>
    <col min="1" max="1" width="3.7109375" style="150" customWidth="1"/>
    <col min="2" max="2" width="15.7109375" style="150" customWidth="1"/>
    <col min="3" max="3" width="18" style="150" bestFit="1" customWidth="1"/>
    <col min="4" max="5" width="18" style="211" customWidth="1"/>
    <col min="6" max="7" width="15.7109375" style="150" customWidth="1"/>
    <col min="8" max="8" width="5.7109375" style="150" customWidth="1"/>
    <col min="9" max="9" width="51.7109375" style="150" customWidth="1"/>
    <col min="10" max="10" width="24.42578125" style="150" customWidth="1"/>
    <col min="11" max="11" width="11.42578125" style="150" customWidth="1"/>
    <col min="12" max="12" width="11" style="150" customWidth="1"/>
    <col min="13" max="16384" width="9.140625" style="150"/>
  </cols>
  <sheetData>
    <row r="1" spans="1:14" x14ac:dyDescent="0.25">
      <c r="A1" s="14"/>
      <c r="B1" s="14"/>
      <c r="C1" s="14"/>
      <c r="D1" s="14"/>
      <c r="E1" s="14"/>
      <c r="F1" s="14"/>
      <c r="G1" s="14"/>
    </row>
    <row r="2" spans="1:14" x14ac:dyDescent="0.25">
      <c r="B2" s="151"/>
    </row>
    <row r="3" spans="1:14" x14ac:dyDescent="0.25">
      <c r="B3" s="151"/>
    </row>
    <row r="4" spans="1:14" ht="15.75" thickBot="1" x14ac:dyDescent="0.3">
      <c r="C4" s="158"/>
      <c r="D4" s="158"/>
      <c r="E4" s="158"/>
      <c r="F4" s="113"/>
      <c r="G4" s="113"/>
      <c r="J4" s="56"/>
    </row>
    <row r="5" spans="1:14" ht="35.1" customHeight="1" x14ac:dyDescent="0.25">
      <c r="B5" s="372" t="s">
        <v>0</v>
      </c>
      <c r="C5" s="376" t="s">
        <v>336</v>
      </c>
      <c r="D5" s="376" t="s">
        <v>238</v>
      </c>
      <c r="E5" s="376" t="s">
        <v>302</v>
      </c>
      <c r="F5" s="376" t="s">
        <v>2</v>
      </c>
      <c r="G5" s="378" t="s">
        <v>1</v>
      </c>
      <c r="I5" s="56"/>
      <c r="K5" s="20"/>
    </row>
    <row r="6" spans="1:14" ht="43.5" customHeight="1" thickBot="1" x14ac:dyDescent="0.3">
      <c r="B6" s="373"/>
      <c r="C6" s="377"/>
      <c r="D6" s="377"/>
      <c r="E6" s="377"/>
      <c r="F6" s="377"/>
      <c r="G6" s="379"/>
      <c r="K6" s="405"/>
      <c r="L6" s="405"/>
      <c r="M6" s="211"/>
      <c r="N6" s="211"/>
    </row>
    <row r="7" spans="1:14" ht="18" customHeight="1" x14ac:dyDescent="0.25">
      <c r="B7" s="1">
        <f>'H_Campbell Watermain_Costs'!I10</f>
        <v>2023</v>
      </c>
      <c r="C7" s="114">
        <f t="shared" ref="C7:C26" si="0">TREND($J$16:$J$17,$I$16:$I$17,B7)</f>
        <v>530000</v>
      </c>
      <c r="D7" s="114">
        <f>TREND($J$22:$J$23,$I$22:$I$23,C7)</f>
        <v>64064</v>
      </c>
      <c r="E7" s="114">
        <f t="shared" ref="E7:E26" si="1">TREND($J$28:$J$29,$I$28:$I$29,B7)</f>
        <v>46924.799999999996</v>
      </c>
      <c r="F7" s="80">
        <f>SUM(C7:E7)</f>
        <v>640988.80000000005</v>
      </c>
      <c r="G7" s="83">
        <f>F7*(1+0.05)^-($B7-'Global Assumptions'!$C$6)</f>
        <v>527343.07207387872</v>
      </c>
      <c r="I7" s="151" t="s">
        <v>365</v>
      </c>
      <c r="J7" s="211"/>
      <c r="K7" s="211"/>
      <c r="L7" s="211"/>
      <c r="M7" s="211"/>
      <c r="N7" s="211"/>
    </row>
    <row r="8" spans="1:14" x14ac:dyDescent="0.25">
      <c r="B8" s="2">
        <f>B7+1</f>
        <v>2024</v>
      </c>
      <c r="C8" s="117">
        <f t="shared" si="0"/>
        <v>530000</v>
      </c>
      <c r="D8" s="117">
        <f t="shared" ref="D8:D26" si="2">TREND($J$22:$J$23,$I$22:$I$23,C8)</f>
        <v>64064</v>
      </c>
      <c r="E8" s="117">
        <f t="shared" si="1"/>
        <v>46924.799999999996</v>
      </c>
      <c r="F8" s="81">
        <f t="shared" ref="F8:F26" si="3">SUM(C8:E8)</f>
        <v>640988.80000000005</v>
      </c>
      <c r="G8" s="84">
        <f>F8*(1+0.07)^-($B8-'Global Assumptions'!$C$6)</f>
        <v>457016.15560382127</v>
      </c>
      <c r="I8" s="160" t="s">
        <v>364</v>
      </c>
      <c r="J8" s="60">
        <f>2*265000</f>
        <v>530000</v>
      </c>
      <c r="K8" s="211"/>
      <c r="L8" s="211"/>
      <c r="M8" s="211"/>
      <c r="N8" s="211"/>
    </row>
    <row r="9" spans="1:14" x14ac:dyDescent="0.25">
      <c r="B9" s="2">
        <f t="shared" ref="B9:B36" si="4">B8+1</f>
        <v>2025</v>
      </c>
      <c r="C9" s="117">
        <f t="shared" si="0"/>
        <v>530000</v>
      </c>
      <c r="D9" s="117">
        <f t="shared" si="2"/>
        <v>64064</v>
      </c>
      <c r="E9" s="117">
        <f t="shared" si="1"/>
        <v>46924.799999999996</v>
      </c>
      <c r="F9" s="81">
        <f t="shared" si="3"/>
        <v>640988.80000000005</v>
      </c>
      <c r="G9" s="84">
        <f>F9*(1+0.07)^-($B9-'Global Assumptions'!$C$6)</f>
        <v>427117.90243347781</v>
      </c>
      <c r="I9" s="160" t="s">
        <v>250</v>
      </c>
      <c r="J9" s="94">
        <v>52</v>
      </c>
      <c r="K9" s="211"/>
      <c r="L9" s="211"/>
      <c r="M9" s="211"/>
      <c r="N9" s="211"/>
    </row>
    <row r="10" spans="1:14" x14ac:dyDescent="0.25">
      <c r="B10" s="2">
        <f t="shared" si="4"/>
        <v>2026</v>
      </c>
      <c r="C10" s="117">
        <f t="shared" si="0"/>
        <v>530000</v>
      </c>
      <c r="D10" s="117">
        <f t="shared" si="2"/>
        <v>64064</v>
      </c>
      <c r="E10" s="117">
        <f t="shared" si="1"/>
        <v>46924.799999999996</v>
      </c>
      <c r="F10" s="81">
        <f t="shared" si="3"/>
        <v>640988.80000000005</v>
      </c>
      <c r="G10" s="84">
        <f>F10*(1+0.07)^-($B10-'Global Assumptions'!$C$6)</f>
        <v>399175.60975091381</v>
      </c>
      <c r="I10" s="160" t="s">
        <v>251</v>
      </c>
      <c r="J10" s="94">
        <v>40</v>
      </c>
      <c r="K10" s="295"/>
      <c r="L10" s="211"/>
      <c r="M10" s="211"/>
      <c r="N10" s="211"/>
    </row>
    <row r="11" spans="1:14" x14ac:dyDescent="0.25">
      <c r="B11" s="2">
        <f t="shared" si="4"/>
        <v>2027</v>
      </c>
      <c r="C11" s="117">
        <f t="shared" si="0"/>
        <v>530000</v>
      </c>
      <c r="D11" s="117">
        <f t="shared" si="2"/>
        <v>64064</v>
      </c>
      <c r="E11" s="117">
        <f t="shared" si="1"/>
        <v>46924.799999999996</v>
      </c>
      <c r="F11" s="81">
        <f t="shared" si="3"/>
        <v>640988.80000000005</v>
      </c>
      <c r="G11" s="84">
        <f>F11*(1+0.07)^-($B11-'Global Assumptions'!$C$6)</f>
        <v>373061.31752421852</v>
      </c>
      <c r="I11" s="93" t="s">
        <v>190</v>
      </c>
      <c r="J11" s="60">
        <v>30.8</v>
      </c>
      <c r="K11" s="155"/>
    </row>
    <row r="12" spans="1:14" x14ac:dyDescent="0.25">
      <c r="B12" s="2">
        <f t="shared" si="4"/>
        <v>2028</v>
      </c>
      <c r="C12" s="117">
        <f t="shared" si="0"/>
        <v>530000</v>
      </c>
      <c r="D12" s="117">
        <f t="shared" si="2"/>
        <v>64064</v>
      </c>
      <c r="E12" s="117">
        <f t="shared" si="1"/>
        <v>46924.799999999996</v>
      </c>
      <c r="F12" s="81">
        <f t="shared" si="3"/>
        <v>640988.80000000005</v>
      </c>
      <c r="G12" s="84">
        <f>F12*(1+0.07)^-($B12-'Global Assumptions'!$C$6)</f>
        <v>348655.43693852198</v>
      </c>
      <c r="I12" s="160" t="s">
        <v>303</v>
      </c>
      <c r="J12" s="60">
        <v>22.56</v>
      </c>
      <c r="K12" s="159" t="s">
        <v>252</v>
      </c>
      <c r="L12" s="150" t="s">
        <v>327</v>
      </c>
    </row>
    <row r="13" spans="1:14" x14ac:dyDescent="0.25">
      <c r="B13" s="2">
        <f t="shared" si="4"/>
        <v>2029</v>
      </c>
      <c r="C13" s="117">
        <f t="shared" si="0"/>
        <v>530000</v>
      </c>
      <c r="D13" s="117">
        <f t="shared" si="2"/>
        <v>64064</v>
      </c>
      <c r="E13" s="117">
        <f t="shared" si="1"/>
        <v>46924.799999999996</v>
      </c>
      <c r="F13" s="81">
        <f t="shared" si="3"/>
        <v>640988.80000000005</v>
      </c>
      <c r="G13" s="84">
        <f>F13*(1+0.07)^-($B13-'Global Assumptions'!$C$6)</f>
        <v>325846.20274628222</v>
      </c>
      <c r="I13" s="211"/>
      <c r="J13" s="227"/>
    </row>
    <row r="14" spans="1:14" ht="15" customHeight="1" x14ac:dyDescent="0.25">
      <c r="B14" s="2">
        <f t="shared" si="4"/>
        <v>2030</v>
      </c>
      <c r="C14" s="117">
        <f t="shared" si="0"/>
        <v>530000</v>
      </c>
      <c r="D14" s="117">
        <f t="shared" si="2"/>
        <v>64064</v>
      </c>
      <c r="E14" s="117">
        <f t="shared" si="1"/>
        <v>46924.799999999996</v>
      </c>
      <c r="F14" s="81">
        <f t="shared" si="3"/>
        <v>640988.80000000005</v>
      </c>
      <c r="G14" s="84">
        <f>F14*(1+0.07)^-($B14-'Global Assumptions'!$C$6)</f>
        <v>304529.16144512355</v>
      </c>
      <c r="I14" s="216" t="s">
        <v>366</v>
      </c>
      <c r="J14" s="216"/>
    </row>
    <row r="15" spans="1:14" x14ac:dyDescent="0.25">
      <c r="B15" s="2">
        <f t="shared" si="4"/>
        <v>2031</v>
      </c>
      <c r="C15" s="117">
        <f t="shared" si="0"/>
        <v>530000</v>
      </c>
      <c r="D15" s="117">
        <f t="shared" si="2"/>
        <v>64064</v>
      </c>
      <c r="E15" s="117">
        <f t="shared" si="1"/>
        <v>46924.799999999996</v>
      </c>
      <c r="F15" s="81">
        <f t="shared" si="3"/>
        <v>640988.80000000005</v>
      </c>
      <c r="G15" s="84">
        <f>F15*(1+0.07)^-($B15-'Global Assumptions'!$C$6)</f>
        <v>284606.69293936784</v>
      </c>
      <c r="I15" s="228" t="s">
        <v>46</v>
      </c>
      <c r="J15" s="228" t="s">
        <v>194</v>
      </c>
      <c r="K15" s="42"/>
      <c r="L15" s="42"/>
      <c r="M15" s="42"/>
      <c r="N15" s="42"/>
    </row>
    <row r="16" spans="1:14" x14ac:dyDescent="0.25">
      <c r="B16" s="2">
        <f t="shared" si="4"/>
        <v>2032</v>
      </c>
      <c r="C16" s="117">
        <f t="shared" si="0"/>
        <v>530000</v>
      </c>
      <c r="D16" s="117">
        <f t="shared" si="2"/>
        <v>64064</v>
      </c>
      <c r="E16" s="117">
        <f t="shared" si="1"/>
        <v>46924.799999999996</v>
      </c>
      <c r="F16" s="81">
        <f t="shared" si="3"/>
        <v>640988.80000000005</v>
      </c>
      <c r="G16" s="84">
        <f>F16*(1+0.07)^-($B16-'Global Assumptions'!$C$6)</f>
        <v>265987.56349473627</v>
      </c>
      <c r="I16" s="317">
        <v>2021</v>
      </c>
      <c r="J16" s="60">
        <f>$J$8</f>
        <v>530000</v>
      </c>
    </row>
    <row r="17" spans="2:10" x14ac:dyDescent="0.25">
      <c r="B17" s="2">
        <f t="shared" si="4"/>
        <v>2033</v>
      </c>
      <c r="C17" s="117">
        <f t="shared" si="0"/>
        <v>530000</v>
      </c>
      <c r="D17" s="117">
        <f t="shared" si="2"/>
        <v>64064</v>
      </c>
      <c r="E17" s="117">
        <f t="shared" si="1"/>
        <v>46924.799999999996</v>
      </c>
      <c r="F17" s="81">
        <f t="shared" si="3"/>
        <v>640988.80000000005</v>
      </c>
      <c r="G17" s="84">
        <f>F17*(1+0.07)^-($B17-'Global Assumptions'!$C$6)</f>
        <v>248586.50793900588</v>
      </c>
      <c r="I17" s="317">
        <v>2040</v>
      </c>
      <c r="J17" s="60">
        <f>$J$8</f>
        <v>530000</v>
      </c>
    </row>
    <row r="18" spans="2:10" x14ac:dyDescent="0.25">
      <c r="B18" s="2">
        <f t="shared" si="4"/>
        <v>2034</v>
      </c>
      <c r="C18" s="117">
        <f t="shared" si="0"/>
        <v>530000</v>
      </c>
      <c r="D18" s="117">
        <f t="shared" si="2"/>
        <v>64064</v>
      </c>
      <c r="E18" s="117">
        <f t="shared" si="1"/>
        <v>46924.799999999996</v>
      </c>
      <c r="F18" s="81">
        <f t="shared" si="3"/>
        <v>640988.80000000005</v>
      </c>
      <c r="G18" s="84">
        <f>F18*(1+0.07)^-($B18-'Global Assumptions'!$C$6)</f>
        <v>232323.83919533258</v>
      </c>
      <c r="I18" s="220"/>
      <c r="J18" s="220"/>
    </row>
    <row r="19" spans="2:10" x14ac:dyDescent="0.25">
      <c r="B19" s="2">
        <f t="shared" si="4"/>
        <v>2035</v>
      </c>
      <c r="C19" s="117">
        <f t="shared" si="0"/>
        <v>530000</v>
      </c>
      <c r="D19" s="117">
        <f t="shared" si="2"/>
        <v>64064</v>
      </c>
      <c r="E19" s="117">
        <f t="shared" si="1"/>
        <v>46924.799999999996</v>
      </c>
      <c r="F19" s="81">
        <f t="shared" si="3"/>
        <v>640988.80000000005</v>
      </c>
      <c r="G19" s="84">
        <f>F19*(1+0.07)^-($B19-'Global Assumptions'!$C$6)</f>
        <v>217125.08336012391</v>
      </c>
      <c r="I19" s="220"/>
      <c r="J19" s="220"/>
    </row>
    <row r="20" spans="2:10" x14ac:dyDescent="0.25">
      <c r="B20" s="2">
        <f t="shared" si="4"/>
        <v>2036</v>
      </c>
      <c r="C20" s="117">
        <f t="shared" si="0"/>
        <v>530000</v>
      </c>
      <c r="D20" s="117">
        <f t="shared" si="2"/>
        <v>64064</v>
      </c>
      <c r="E20" s="117">
        <f t="shared" si="1"/>
        <v>46924.799999999996</v>
      </c>
      <c r="F20" s="81">
        <f t="shared" si="3"/>
        <v>640988.80000000005</v>
      </c>
      <c r="G20" s="84">
        <f>F20*(1+0.07)^-($B20-'Global Assumptions'!$C$6)</f>
        <v>202920.63865432143</v>
      </c>
      <c r="I20" s="216" t="s">
        <v>367</v>
      </c>
      <c r="J20" s="216"/>
    </row>
    <row r="21" spans="2:10" x14ac:dyDescent="0.25">
      <c r="B21" s="2">
        <f t="shared" si="4"/>
        <v>2037</v>
      </c>
      <c r="C21" s="117">
        <f t="shared" si="0"/>
        <v>530000</v>
      </c>
      <c r="D21" s="117">
        <f t="shared" si="2"/>
        <v>64064</v>
      </c>
      <c r="E21" s="117">
        <f t="shared" si="1"/>
        <v>46924.799999999996</v>
      </c>
      <c r="F21" s="81">
        <f t="shared" si="3"/>
        <v>640988.80000000005</v>
      </c>
      <c r="G21" s="84">
        <f>F21*(1+0.07)^-($B21-'Global Assumptions'!$C$6)</f>
        <v>189645.45668628169</v>
      </c>
      <c r="I21" s="228" t="s">
        <v>46</v>
      </c>
      <c r="J21" s="228" t="s">
        <v>194</v>
      </c>
    </row>
    <row r="22" spans="2:10" x14ac:dyDescent="0.25">
      <c r="B22" s="2">
        <f t="shared" si="4"/>
        <v>2038</v>
      </c>
      <c r="C22" s="117">
        <f t="shared" si="0"/>
        <v>530000</v>
      </c>
      <c r="D22" s="117">
        <f t="shared" si="2"/>
        <v>64064</v>
      </c>
      <c r="E22" s="117">
        <f t="shared" si="1"/>
        <v>46924.799999999996</v>
      </c>
      <c r="F22" s="81">
        <f t="shared" si="3"/>
        <v>640988.80000000005</v>
      </c>
      <c r="G22" s="84">
        <f>F22*(1+0.07)^-($B22-'Global Assumptions'!$C$6)</f>
        <v>177238.74456661841</v>
      </c>
      <c r="I22" s="317">
        <v>2021</v>
      </c>
      <c r="J22" s="330">
        <f>$J$10*$J$11*$J$9</f>
        <v>64064</v>
      </c>
    </row>
    <row r="23" spans="2:10" x14ac:dyDescent="0.25">
      <c r="B23" s="2">
        <f t="shared" si="4"/>
        <v>2039</v>
      </c>
      <c r="C23" s="117">
        <f t="shared" si="0"/>
        <v>530000</v>
      </c>
      <c r="D23" s="117">
        <f t="shared" si="2"/>
        <v>64064</v>
      </c>
      <c r="E23" s="117">
        <f t="shared" si="1"/>
        <v>46924.799999999996</v>
      </c>
      <c r="F23" s="81">
        <f t="shared" si="3"/>
        <v>640988.80000000005</v>
      </c>
      <c r="G23" s="84">
        <f>F23*(1+0.07)^-($B23-'Global Assumptions'!$C$6)</f>
        <v>165643.68651085833</v>
      </c>
      <c r="I23" s="317">
        <v>2040</v>
      </c>
      <c r="J23" s="330">
        <f>$J$10*$J$11*$J$9</f>
        <v>64064</v>
      </c>
    </row>
    <row r="24" spans="2:10" x14ac:dyDescent="0.25">
      <c r="B24" s="2">
        <f t="shared" si="4"/>
        <v>2040</v>
      </c>
      <c r="C24" s="117">
        <f t="shared" si="0"/>
        <v>530000</v>
      </c>
      <c r="D24" s="117">
        <f t="shared" si="2"/>
        <v>64064</v>
      </c>
      <c r="E24" s="117">
        <f t="shared" si="1"/>
        <v>46924.799999999996</v>
      </c>
      <c r="F24" s="81">
        <f t="shared" si="3"/>
        <v>640988.80000000005</v>
      </c>
      <c r="G24" s="84">
        <f>F24*(1+0.07)^-($B24-'Global Assumptions'!$C$6)</f>
        <v>154807.1836550078</v>
      </c>
      <c r="I24" s="220"/>
      <c r="J24" s="103"/>
    </row>
    <row r="25" spans="2:10" x14ac:dyDescent="0.25">
      <c r="B25" s="2">
        <f t="shared" si="4"/>
        <v>2041</v>
      </c>
      <c r="C25" s="117">
        <f t="shared" si="0"/>
        <v>530000</v>
      </c>
      <c r="D25" s="117">
        <f t="shared" si="2"/>
        <v>64064</v>
      </c>
      <c r="E25" s="117">
        <f t="shared" si="1"/>
        <v>46924.799999999996</v>
      </c>
      <c r="F25" s="81">
        <f t="shared" si="3"/>
        <v>640988.80000000005</v>
      </c>
      <c r="G25" s="84">
        <f>F25*(1+0.07)^-($B25-'Global Assumptions'!$C$6)</f>
        <v>144679.61089253065</v>
      </c>
      <c r="I25" s="220"/>
      <c r="J25" s="103"/>
    </row>
    <row r="26" spans="2:10" x14ac:dyDescent="0.25">
      <c r="B26" s="2">
        <f t="shared" si="4"/>
        <v>2042</v>
      </c>
      <c r="C26" s="117">
        <f t="shared" si="0"/>
        <v>530000</v>
      </c>
      <c r="D26" s="117">
        <f t="shared" si="2"/>
        <v>64064</v>
      </c>
      <c r="E26" s="117">
        <f t="shared" si="1"/>
        <v>46924.799999999996</v>
      </c>
      <c r="F26" s="81">
        <f t="shared" si="3"/>
        <v>640988.80000000005</v>
      </c>
      <c r="G26" s="84">
        <f>F26*(1+0.07)^-($B26-'Global Assumptions'!$C$6)</f>
        <v>135214.58961918749</v>
      </c>
      <c r="I26" s="216" t="s">
        <v>368</v>
      </c>
      <c r="J26" s="226"/>
    </row>
    <row r="27" spans="2:10" x14ac:dyDescent="0.25">
      <c r="B27" s="2">
        <f t="shared" si="4"/>
        <v>2043</v>
      </c>
      <c r="C27" s="117">
        <v>0</v>
      </c>
      <c r="D27" s="117">
        <v>0</v>
      </c>
      <c r="E27" s="117">
        <v>0</v>
      </c>
      <c r="F27" s="81">
        <f t="shared" ref="F27:F36" si="5">SUM(C27:C27)</f>
        <v>0</v>
      </c>
      <c r="G27" s="84">
        <f>F27*(1+0.07)^-($B27-'Global Assumptions'!$C$6)</f>
        <v>0</v>
      </c>
      <c r="I27" s="228" t="s">
        <v>46</v>
      </c>
      <c r="J27" s="293" t="s">
        <v>194</v>
      </c>
    </row>
    <row r="28" spans="2:10" x14ac:dyDescent="0.25">
      <c r="B28" s="2">
        <f t="shared" si="4"/>
        <v>2044</v>
      </c>
      <c r="C28" s="117">
        <f>IF($B28&gt;'B_Roadway Improvements_Costs'!$I$11,0,$J$32/20*$J$34/$J$33)</f>
        <v>0</v>
      </c>
      <c r="D28" s="117">
        <v>0</v>
      </c>
      <c r="E28" s="117">
        <v>0</v>
      </c>
      <c r="F28" s="81">
        <f t="shared" si="5"/>
        <v>0</v>
      </c>
      <c r="G28" s="84">
        <f>F28*(1+0.07)^-($B28-'Global Assumptions'!$C$6)</f>
        <v>0</v>
      </c>
      <c r="I28" s="317">
        <v>2021</v>
      </c>
      <c r="J28" s="330">
        <f>$J$9*$J$10*$J$12</f>
        <v>46924.799999999996</v>
      </c>
    </row>
    <row r="29" spans="2:10" x14ac:dyDescent="0.25">
      <c r="B29" s="2">
        <f t="shared" si="4"/>
        <v>2045</v>
      </c>
      <c r="C29" s="117">
        <f>IF($B29&gt;'B_Roadway Improvements_Costs'!$I$11,0,$J$32/20*$J$34/$J$33)</f>
        <v>0</v>
      </c>
      <c r="D29" s="117">
        <v>0</v>
      </c>
      <c r="E29" s="117">
        <v>0</v>
      </c>
      <c r="F29" s="81">
        <f t="shared" si="5"/>
        <v>0</v>
      </c>
      <c r="G29" s="84">
        <f>F29*(1+0.07)^-($B29-'Global Assumptions'!$C$6)</f>
        <v>0</v>
      </c>
      <c r="I29" s="317">
        <v>2040</v>
      </c>
      <c r="J29" s="330">
        <f>$J$9*$J$10*$J$12</f>
        <v>46924.799999999996</v>
      </c>
    </row>
    <row r="30" spans="2:10" x14ac:dyDescent="0.25">
      <c r="B30" s="2">
        <f t="shared" si="4"/>
        <v>2046</v>
      </c>
      <c r="C30" s="117">
        <f>IF($B30&gt;'B_Roadway Improvements_Costs'!$I$11,0,$J$32/20*$J$34/$J$33)</f>
        <v>0</v>
      </c>
      <c r="D30" s="117">
        <v>0</v>
      </c>
      <c r="E30" s="117">
        <v>0</v>
      </c>
      <c r="F30" s="81">
        <f t="shared" si="5"/>
        <v>0</v>
      </c>
      <c r="G30" s="84">
        <f>F30*(1+0.07)^-($B30-'Global Assumptions'!$C$6)</f>
        <v>0</v>
      </c>
    </row>
    <row r="31" spans="2:10" ht="14.25" customHeight="1" x14ac:dyDescent="0.25">
      <c r="B31" s="2">
        <f t="shared" si="4"/>
        <v>2047</v>
      </c>
      <c r="C31" s="117">
        <f>IF($B31&gt;'B_Roadway Improvements_Costs'!$I$11,0,$J$32/20*$J$34/$J$33)</f>
        <v>0</v>
      </c>
      <c r="D31" s="117">
        <v>0</v>
      </c>
      <c r="E31" s="117">
        <v>0</v>
      </c>
      <c r="F31" s="81">
        <f t="shared" si="5"/>
        <v>0</v>
      </c>
      <c r="G31" s="84">
        <f>F31*(1+0.07)^-($B31-'Global Assumptions'!$C$6)</f>
        <v>0</v>
      </c>
    </row>
    <row r="32" spans="2:10" x14ac:dyDescent="0.25">
      <c r="B32" s="2">
        <f t="shared" si="4"/>
        <v>2048</v>
      </c>
      <c r="C32" s="117">
        <f>IF($B32&gt;'B_Roadway Improvements_Costs'!$I$11,0,$J$32/20*$J$34/$J$33)</f>
        <v>0</v>
      </c>
      <c r="D32" s="117">
        <v>0</v>
      </c>
      <c r="E32" s="117">
        <v>0</v>
      </c>
      <c r="F32" s="81">
        <f t="shared" si="5"/>
        <v>0</v>
      </c>
      <c r="G32" s="84">
        <f>F32*(1+0.07)^-($B32-'Global Assumptions'!$C$6)</f>
        <v>0</v>
      </c>
    </row>
    <row r="33" spans="1:17" x14ac:dyDescent="0.25">
      <c r="B33" s="2">
        <f t="shared" si="4"/>
        <v>2049</v>
      </c>
      <c r="C33" s="117">
        <f>IF($B33&gt;'B_Roadway Improvements_Costs'!$I$11,0,$J$32/20*$J$34/$J$33)</f>
        <v>0</v>
      </c>
      <c r="D33" s="117">
        <v>0</v>
      </c>
      <c r="E33" s="117">
        <v>0</v>
      </c>
      <c r="F33" s="81">
        <f t="shared" si="5"/>
        <v>0</v>
      </c>
      <c r="G33" s="84">
        <f>F33*(1+0.07)^-($B33-'Global Assumptions'!$C$6)</f>
        <v>0</v>
      </c>
    </row>
    <row r="34" spans="1:17" x14ac:dyDescent="0.25">
      <c r="B34" s="2">
        <f t="shared" si="4"/>
        <v>2050</v>
      </c>
      <c r="C34" s="117">
        <f>IF($B34&gt;'B_Roadway Improvements_Costs'!$I$11,0,$J$32/20*$J$34/$J$33)</f>
        <v>0</v>
      </c>
      <c r="D34" s="117">
        <v>0</v>
      </c>
      <c r="E34" s="117">
        <v>0</v>
      </c>
      <c r="F34" s="81">
        <f t="shared" si="5"/>
        <v>0</v>
      </c>
      <c r="G34" s="84">
        <f>F34*(1+0.07)^-($B34-'Global Assumptions'!$C$6)</f>
        <v>0</v>
      </c>
    </row>
    <row r="35" spans="1:17" x14ac:dyDescent="0.25">
      <c r="B35" s="2">
        <f t="shared" si="4"/>
        <v>2051</v>
      </c>
      <c r="C35" s="117">
        <f>IF($B35&gt;'B_Roadway Improvements_Costs'!$I$11,0,$J$32/20*$J$34/$J$33)</f>
        <v>0</v>
      </c>
      <c r="D35" s="117">
        <v>0</v>
      </c>
      <c r="E35" s="117">
        <v>0</v>
      </c>
      <c r="F35" s="81">
        <f t="shared" si="5"/>
        <v>0</v>
      </c>
      <c r="G35" s="84">
        <f>F35*(1+0.07)^-($B35-'Global Assumptions'!$C$6)</f>
        <v>0</v>
      </c>
    </row>
    <row r="36" spans="1:17" ht="15" customHeight="1" thickBot="1" x14ac:dyDescent="0.3">
      <c r="B36" s="3">
        <f t="shared" si="4"/>
        <v>2052</v>
      </c>
      <c r="C36" s="120">
        <f>IF($B36&gt;'B_Roadway Improvements_Costs'!$I$11,0,$J$32/20*$J$34/$J$33)</f>
        <v>0</v>
      </c>
      <c r="D36" s="120">
        <v>0</v>
      </c>
      <c r="E36" s="120">
        <v>0</v>
      </c>
      <c r="F36" s="91">
        <f t="shared" si="5"/>
        <v>0</v>
      </c>
      <c r="G36" s="85">
        <f>F36*(1+0.07)^-($B36-'Global Assumptions'!$C$6)</f>
        <v>0</v>
      </c>
    </row>
    <row r="37" spans="1:17" ht="15" customHeight="1" thickBot="1" x14ac:dyDescent="0.3">
      <c r="B37" s="4"/>
      <c r="C37" s="51"/>
      <c r="D37" s="51"/>
      <c r="E37" s="51"/>
      <c r="F37" s="125" t="s">
        <v>2</v>
      </c>
      <c r="G37" s="86">
        <f>SUM(G7:G36)</f>
        <v>5581524.4560296098</v>
      </c>
    </row>
    <row r="38" spans="1:17" ht="15" customHeight="1" x14ac:dyDescent="0.25"/>
    <row r="39" spans="1:17" x14ac:dyDescent="0.25">
      <c r="B39" s="15" t="s">
        <v>3</v>
      </c>
      <c r="G39" s="19"/>
      <c r="I39" s="280"/>
      <c r="J39" s="282"/>
    </row>
    <row r="40" spans="1:17" ht="15" customHeight="1" x14ac:dyDescent="0.25">
      <c r="A40" s="152" t="s">
        <v>24</v>
      </c>
      <c r="B40" s="367" t="s">
        <v>333</v>
      </c>
      <c r="C40" s="367"/>
      <c r="D40" s="367"/>
      <c r="E40" s="367"/>
      <c r="F40" s="367"/>
      <c r="G40" s="367"/>
      <c r="I40" s="152"/>
      <c r="J40" s="282"/>
    </row>
    <row r="41" spans="1:17" ht="15" customHeight="1" x14ac:dyDescent="0.25">
      <c r="B41" s="367"/>
      <c r="C41" s="367"/>
      <c r="D41" s="367"/>
      <c r="E41" s="367"/>
      <c r="F41" s="367"/>
      <c r="G41" s="367"/>
      <c r="I41" s="152"/>
      <c r="J41" s="281"/>
    </row>
    <row r="42" spans="1:17" ht="15" customHeight="1" x14ac:dyDescent="0.25">
      <c r="B42" s="367"/>
      <c r="C42" s="367"/>
      <c r="D42" s="367"/>
      <c r="E42" s="367"/>
      <c r="F42" s="367"/>
      <c r="G42" s="367"/>
    </row>
    <row r="43" spans="1:17" ht="15" customHeight="1" x14ac:dyDescent="0.25">
      <c r="B43" s="367"/>
      <c r="C43" s="367"/>
      <c r="D43" s="367"/>
      <c r="E43" s="367"/>
      <c r="F43" s="367"/>
      <c r="G43" s="367"/>
      <c r="I43" s="151"/>
    </row>
    <row r="44" spans="1:17" ht="15" customHeight="1" x14ac:dyDescent="0.25">
      <c r="B44" s="19"/>
      <c r="C44" s="19"/>
      <c r="D44" s="19"/>
      <c r="E44" s="19"/>
      <c r="F44" s="19"/>
      <c r="G44" s="19"/>
      <c r="I44" s="211"/>
    </row>
    <row r="45" spans="1:17" x14ac:dyDescent="0.25">
      <c r="A45" s="152" t="s">
        <v>23</v>
      </c>
      <c r="B45" s="367" t="s">
        <v>334</v>
      </c>
      <c r="C45" s="367"/>
      <c r="D45" s="367"/>
      <c r="E45" s="367"/>
      <c r="F45" s="367"/>
      <c r="G45" s="367"/>
      <c r="H45" s="183"/>
      <c r="I45" s="211"/>
    </row>
    <row r="46" spans="1:17" x14ac:dyDescent="0.25">
      <c r="B46" s="367"/>
      <c r="C46" s="367"/>
      <c r="D46" s="367"/>
      <c r="E46" s="367"/>
      <c r="F46" s="367"/>
      <c r="G46" s="367"/>
      <c r="H46" s="183"/>
    </row>
    <row r="47" spans="1:17" x14ac:dyDescent="0.25">
      <c r="B47" s="367"/>
      <c r="C47" s="367"/>
      <c r="D47" s="367"/>
      <c r="E47" s="367"/>
      <c r="F47" s="367"/>
      <c r="G47" s="367"/>
      <c r="H47" s="183"/>
      <c r="I47" s="151"/>
      <c r="Q47" s="220"/>
    </row>
    <row r="48" spans="1:17" x14ac:dyDescent="0.25">
      <c r="B48" s="19"/>
      <c r="C48" s="19"/>
      <c r="D48" s="19"/>
      <c r="E48" s="19"/>
      <c r="F48" s="19"/>
      <c r="G48" s="19"/>
      <c r="H48" s="183"/>
    </row>
    <row r="49" spans="1:10" x14ac:dyDescent="0.25">
      <c r="A49" s="152" t="s">
        <v>55</v>
      </c>
      <c r="B49" s="435" t="s">
        <v>335</v>
      </c>
      <c r="C49" s="435"/>
      <c r="D49" s="435"/>
      <c r="E49" s="435"/>
      <c r="F49" s="435"/>
      <c r="G49" s="435"/>
      <c r="H49" s="183"/>
    </row>
    <row r="50" spans="1:10" x14ac:dyDescent="0.25">
      <c r="B50" s="435"/>
      <c r="C50" s="435"/>
      <c r="D50" s="435"/>
      <c r="E50" s="435"/>
      <c r="F50" s="435"/>
      <c r="G50" s="435"/>
      <c r="H50" s="183"/>
    </row>
    <row r="51" spans="1:10" x14ac:dyDescent="0.25">
      <c r="A51" s="152"/>
      <c r="B51" s="435"/>
      <c r="C51" s="435"/>
      <c r="D51" s="435"/>
      <c r="E51" s="435"/>
      <c r="F51" s="435"/>
      <c r="G51" s="435"/>
      <c r="H51" s="183"/>
    </row>
    <row r="52" spans="1:10" x14ac:dyDescent="0.25">
      <c r="A52" s="152"/>
      <c r="B52" s="435"/>
      <c r="C52" s="435"/>
      <c r="D52" s="435"/>
      <c r="E52" s="435"/>
      <c r="F52" s="435"/>
      <c r="G52" s="435"/>
      <c r="H52" s="183"/>
    </row>
    <row r="53" spans="1:10" x14ac:dyDescent="0.25">
      <c r="A53" s="152"/>
      <c r="B53" s="435"/>
      <c r="C53" s="435"/>
      <c r="D53" s="435"/>
      <c r="E53" s="435"/>
      <c r="F53" s="435"/>
      <c r="G53" s="435"/>
      <c r="H53" s="183"/>
    </row>
    <row r="54" spans="1:10" ht="15" customHeight="1" x14ac:dyDescent="0.25">
      <c r="A54" s="152"/>
      <c r="B54" s="19"/>
      <c r="C54" s="19"/>
      <c r="D54" s="19"/>
      <c r="E54" s="19"/>
      <c r="F54" s="19"/>
      <c r="G54" s="19"/>
      <c r="H54" s="183"/>
    </row>
    <row r="55" spans="1:10" x14ac:dyDescent="0.25">
      <c r="A55" s="152"/>
      <c r="B55" s="19"/>
      <c r="C55" s="19"/>
      <c r="D55" s="19"/>
      <c r="E55" s="19"/>
      <c r="F55" s="19"/>
      <c r="G55" s="19"/>
      <c r="H55" s="183"/>
    </row>
    <row r="56" spans="1:10" x14ac:dyDescent="0.25">
      <c r="A56" s="152"/>
      <c r="B56" s="19"/>
      <c r="C56" s="19"/>
      <c r="D56" s="19"/>
      <c r="E56" s="19"/>
      <c r="F56" s="19"/>
      <c r="G56" s="19"/>
      <c r="H56" s="183"/>
    </row>
    <row r="57" spans="1:10" x14ac:dyDescent="0.25">
      <c r="A57" s="152"/>
      <c r="B57" s="19"/>
      <c r="C57" s="19"/>
      <c r="D57" s="19"/>
      <c r="E57" s="19"/>
      <c r="F57" s="19"/>
      <c r="G57" s="19"/>
      <c r="H57" s="183"/>
      <c r="I57" s="53"/>
      <c r="J57" s="47"/>
    </row>
    <row r="58" spans="1:10" x14ac:dyDescent="0.25">
      <c r="A58" s="152"/>
      <c r="B58" s="184"/>
      <c r="C58" s="184"/>
      <c r="D58" s="185"/>
      <c r="E58" s="185"/>
      <c r="F58" s="184"/>
      <c r="G58" s="184"/>
      <c r="H58" s="183"/>
      <c r="I58" s="53"/>
      <c r="J58" s="47"/>
    </row>
    <row r="59" spans="1:10" x14ac:dyDescent="0.25">
      <c r="A59" s="152"/>
      <c r="B59" s="19"/>
      <c r="C59" s="19"/>
      <c r="D59" s="19"/>
      <c r="E59" s="19"/>
      <c r="F59" s="19"/>
      <c r="G59" s="19"/>
      <c r="H59" s="183"/>
      <c r="I59" s="53"/>
      <c r="J59" s="47"/>
    </row>
    <row r="60" spans="1:10" x14ac:dyDescent="0.25">
      <c r="B60" s="19"/>
      <c r="C60" s="19"/>
      <c r="D60" s="19"/>
      <c r="E60" s="19"/>
      <c r="F60" s="19"/>
      <c r="G60" s="19"/>
      <c r="H60" s="183"/>
      <c r="I60" s="53"/>
      <c r="J60" s="47"/>
    </row>
    <row r="61" spans="1:10" x14ac:dyDescent="0.25">
      <c r="B61" s="19"/>
      <c r="C61" s="19"/>
      <c r="D61" s="19"/>
      <c r="E61" s="19"/>
      <c r="F61" s="19"/>
      <c r="G61" s="19"/>
      <c r="H61" s="183"/>
      <c r="I61" s="53"/>
      <c r="J61" s="47"/>
    </row>
    <row r="62" spans="1:10" x14ac:dyDescent="0.25">
      <c r="B62" s="19"/>
      <c r="C62" s="19"/>
      <c r="D62" s="19"/>
      <c r="E62" s="19"/>
      <c r="F62" s="19"/>
      <c r="G62" s="19"/>
      <c r="H62" s="183"/>
      <c r="I62" s="53"/>
      <c r="J62" s="47"/>
    </row>
    <row r="63" spans="1:10" x14ac:dyDescent="0.25">
      <c r="B63" s="19"/>
      <c r="C63" s="19"/>
      <c r="D63" s="19"/>
      <c r="E63" s="19"/>
      <c r="F63" s="19"/>
      <c r="G63" s="19"/>
      <c r="H63" s="183"/>
      <c r="I63" s="53"/>
      <c r="J63" s="47"/>
    </row>
    <row r="64" spans="1:10" x14ac:dyDescent="0.25">
      <c r="B64" s="19"/>
      <c r="C64" s="19"/>
      <c r="D64" s="19"/>
      <c r="E64" s="19"/>
      <c r="F64" s="19"/>
      <c r="G64" s="19"/>
      <c r="H64" s="183"/>
      <c r="I64" s="53"/>
      <c r="J64" s="47"/>
    </row>
    <row r="65" spans="1:10" x14ac:dyDescent="0.25">
      <c r="B65" s="19"/>
      <c r="C65" s="19"/>
      <c r="D65" s="19"/>
      <c r="E65" s="19"/>
      <c r="F65" s="19"/>
      <c r="G65" s="19"/>
      <c r="H65" s="183"/>
      <c r="I65" s="53"/>
      <c r="J65" s="47"/>
    </row>
    <row r="66" spans="1:10" x14ac:dyDescent="0.25">
      <c r="B66" s="19"/>
      <c r="C66" s="19"/>
      <c r="D66" s="19"/>
      <c r="E66" s="19"/>
      <c r="F66" s="19"/>
      <c r="G66" s="19"/>
      <c r="H66" s="183"/>
      <c r="I66" s="53"/>
      <c r="J66" s="47"/>
    </row>
    <row r="67" spans="1:10" x14ac:dyDescent="0.25">
      <c r="B67" s="19"/>
      <c r="C67" s="19"/>
      <c r="D67" s="19"/>
      <c r="E67" s="19"/>
      <c r="F67" s="19"/>
      <c r="G67" s="19"/>
      <c r="H67" s="183"/>
      <c r="I67" s="53"/>
      <c r="J67" s="47"/>
    </row>
    <row r="68" spans="1:10" x14ac:dyDescent="0.25">
      <c r="B68" s="19"/>
      <c r="C68" s="19"/>
      <c r="D68" s="19"/>
      <c r="E68" s="19"/>
      <c r="F68" s="19"/>
      <c r="G68" s="19"/>
      <c r="H68" s="183"/>
      <c r="I68" s="53"/>
      <c r="J68" s="47"/>
    </row>
    <row r="69" spans="1:10" x14ac:dyDescent="0.25">
      <c r="B69" s="19"/>
      <c r="C69" s="19"/>
      <c r="D69" s="19"/>
      <c r="E69" s="19"/>
      <c r="F69" s="19"/>
      <c r="G69" s="19"/>
      <c r="H69" s="183"/>
      <c r="I69" s="53"/>
      <c r="J69" s="47"/>
    </row>
    <row r="70" spans="1:10" ht="15" customHeight="1" x14ac:dyDescent="0.25">
      <c r="H70" s="183"/>
      <c r="I70" s="21"/>
      <c r="J70" s="47"/>
    </row>
    <row r="71" spans="1:10" ht="15" customHeight="1" x14ac:dyDescent="0.25">
      <c r="A71" s="152"/>
      <c r="B71" s="21"/>
      <c r="C71" s="21"/>
      <c r="D71" s="21"/>
      <c r="E71" s="21"/>
      <c r="F71" s="21"/>
      <c r="G71" s="21"/>
      <c r="H71" s="183"/>
      <c r="I71" s="183"/>
      <c r="J71" s="21"/>
    </row>
    <row r="72" spans="1:10" ht="15" customHeight="1" x14ac:dyDescent="0.25">
      <c r="B72" s="21"/>
      <c r="C72" s="21"/>
      <c r="D72" s="21"/>
      <c r="E72" s="21"/>
      <c r="F72" s="21"/>
      <c r="G72" s="21"/>
      <c r="H72" s="183"/>
      <c r="I72" s="183"/>
    </row>
    <row r="73" spans="1:10" ht="15" customHeight="1" x14ac:dyDescent="0.25">
      <c r="B73" s="21"/>
      <c r="C73" s="21"/>
      <c r="D73" s="21"/>
      <c r="E73" s="21"/>
      <c r="F73" s="21"/>
      <c r="G73" s="21"/>
      <c r="H73" s="183"/>
      <c r="I73" s="183"/>
    </row>
    <row r="74" spans="1:10" x14ac:dyDescent="0.25">
      <c r="A74" s="152"/>
      <c r="B74" s="21"/>
      <c r="C74" s="21"/>
      <c r="D74" s="21"/>
      <c r="E74" s="21"/>
      <c r="F74" s="21"/>
      <c r="G74" s="21"/>
      <c r="H74" s="183"/>
    </row>
    <row r="75" spans="1:10" x14ac:dyDescent="0.25">
      <c r="A75" s="152"/>
      <c r="B75" s="214"/>
      <c r="C75" s="214"/>
      <c r="D75" s="214"/>
      <c r="E75" s="214"/>
      <c r="F75" s="214"/>
      <c r="G75" s="214"/>
      <c r="H75" s="14"/>
    </row>
    <row r="76" spans="1:10" x14ac:dyDescent="0.25">
      <c r="A76" s="152"/>
      <c r="B76" s="214"/>
      <c r="C76" s="214"/>
      <c r="D76" s="214"/>
      <c r="E76" s="214"/>
      <c r="F76" s="214"/>
      <c r="G76" s="214"/>
      <c r="H76" s="14"/>
    </row>
    <row r="77" spans="1:10" x14ac:dyDescent="0.25">
      <c r="H77" s="183"/>
    </row>
    <row r="78" spans="1:10" x14ac:dyDescent="0.25">
      <c r="H78" s="183"/>
    </row>
    <row r="79" spans="1:10" x14ac:dyDescent="0.25">
      <c r="H79" s="183"/>
    </row>
  </sheetData>
  <mergeCells count="10">
    <mergeCell ref="B40:G43"/>
    <mergeCell ref="B45:G47"/>
    <mergeCell ref="B49:G53"/>
    <mergeCell ref="B5:B6"/>
    <mergeCell ref="C5:C6"/>
    <mergeCell ref="F5:F6"/>
    <mergeCell ref="G5:G6"/>
    <mergeCell ref="K6:L6"/>
    <mergeCell ref="D5:D6"/>
    <mergeCell ref="E5:E6"/>
  </mergeCells>
  <hyperlinks>
    <hyperlink ref="K12" r:id="rId1" xr:uid="{8764A7CD-188B-44DA-AF1D-F13C8E72A6B2}"/>
  </hyperlinks>
  <pageMargins left="0.25" right="0.25" top="0.75" bottom="0.75" header="0.3" footer="0.3"/>
  <pageSetup paperSize="119" scale="55"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U105"/>
  <sheetViews>
    <sheetView tabSelected="1" view="pageBreakPreview" zoomScale="85" zoomScaleNormal="100" zoomScaleSheetLayoutView="85" workbookViewId="0">
      <selection activeCell="B2" sqref="B2:F3"/>
    </sheetView>
  </sheetViews>
  <sheetFormatPr defaultRowHeight="15" outlineLevelCol="1" x14ac:dyDescent="0.25"/>
  <cols>
    <col min="1" max="1" width="3.5703125" customWidth="1"/>
    <col min="2" max="2" width="16.85546875" customWidth="1"/>
    <col min="3" max="5" width="15.85546875" customWidth="1"/>
    <col min="6" max="6" width="15.85546875" style="48" customWidth="1"/>
    <col min="7" max="7" width="3.5703125" style="220" customWidth="1"/>
    <col min="8" max="10" width="15.5703125" hidden="1" customWidth="1" outlineLevel="1"/>
    <col min="11" max="11" width="20.7109375" style="52" hidden="1" customWidth="1" outlineLevel="1"/>
    <col min="12" max="16" width="15.5703125" style="100" hidden="1" customWidth="1" outlineLevel="1"/>
    <col min="17" max="17" width="3.7109375" style="100" hidden="1" customWidth="1" outlineLevel="1"/>
    <col min="18" max="18" width="15.5703125" style="100" customWidth="1" collapsed="1"/>
    <col min="19" max="20" width="15.5703125" style="100" customWidth="1"/>
    <col min="21" max="21" width="20.7109375" style="100" customWidth="1"/>
  </cols>
  <sheetData>
    <row r="1" spans="1:21" s="220" customFormat="1" x14ac:dyDescent="0.25"/>
    <row r="2" spans="1:21" ht="23.25" x14ac:dyDescent="0.35">
      <c r="A2" s="14"/>
      <c r="B2" s="366" t="s">
        <v>150</v>
      </c>
      <c r="C2" s="366"/>
      <c r="D2" s="366"/>
      <c r="E2" s="366"/>
      <c r="F2" s="366"/>
      <c r="G2" s="14"/>
      <c r="L2" s="24"/>
      <c r="M2" s="24"/>
      <c r="N2" s="24"/>
    </row>
    <row r="3" spans="1:21" ht="29.25" customHeight="1" x14ac:dyDescent="0.25">
      <c r="B3" s="366"/>
      <c r="C3" s="366"/>
      <c r="D3" s="366"/>
      <c r="E3" s="366"/>
      <c r="F3" s="366"/>
      <c r="H3" s="100"/>
      <c r="I3" s="100"/>
      <c r="J3" s="100"/>
      <c r="K3" s="100"/>
      <c r="L3"/>
      <c r="M3"/>
      <c r="N3"/>
      <c r="O3"/>
      <c r="P3"/>
      <c r="Q3"/>
      <c r="R3"/>
      <c r="S3"/>
      <c r="T3"/>
      <c r="U3"/>
    </row>
    <row r="4" spans="1:21" x14ac:dyDescent="0.25">
      <c r="C4" s="100"/>
      <c r="D4" s="100"/>
      <c r="E4" s="42"/>
      <c r="F4" s="42"/>
      <c r="H4" s="42"/>
      <c r="I4" s="100"/>
      <c r="J4" s="100"/>
      <c r="K4" s="100"/>
      <c r="L4"/>
      <c r="M4"/>
      <c r="N4"/>
      <c r="O4"/>
      <c r="P4"/>
      <c r="Q4"/>
      <c r="R4"/>
      <c r="S4"/>
      <c r="T4"/>
      <c r="U4"/>
    </row>
    <row r="5" spans="1:21" s="49" customFormat="1" ht="16.5" thickBot="1" x14ac:dyDescent="0.3">
      <c r="B5" s="156" t="s">
        <v>129</v>
      </c>
      <c r="C5" s="10"/>
      <c r="D5" s="100"/>
      <c r="E5" s="43"/>
      <c r="F5" s="43"/>
      <c r="H5" s="156" t="str">
        <f>B5</f>
        <v>Total Project Summary</v>
      </c>
      <c r="I5" s="154"/>
      <c r="J5" s="150"/>
      <c r="K5" s="157"/>
      <c r="L5" s="157"/>
    </row>
    <row r="6" spans="1:21" ht="15.75" thickBot="1" x14ac:dyDescent="0.3">
      <c r="B6" s="162"/>
      <c r="C6" s="148" t="s">
        <v>18</v>
      </c>
      <c r="D6" s="148" t="s">
        <v>19</v>
      </c>
      <c r="E6" s="148" t="s">
        <v>20</v>
      </c>
      <c r="F6" s="161" t="s">
        <v>50</v>
      </c>
      <c r="H6" s="162"/>
      <c r="I6" s="148" t="s">
        <v>18</v>
      </c>
      <c r="J6" s="148" t="s">
        <v>19</v>
      </c>
      <c r="K6" s="148" t="s">
        <v>20</v>
      </c>
      <c r="L6" s="161" t="s">
        <v>50</v>
      </c>
      <c r="M6"/>
      <c r="N6"/>
      <c r="O6"/>
      <c r="P6"/>
      <c r="Q6"/>
      <c r="R6"/>
      <c r="S6"/>
      <c r="T6"/>
      <c r="U6"/>
    </row>
    <row r="7" spans="1:21" ht="15" customHeight="1" thickBot="1" x14ac:dyDescent="0.3">
      <c r="B7" s="147" t="s">
        <v>128</v>
      </c>
      <c r="C7" s="149">
        <f>SUM(C12,C17,C22,C27,C32,C37,C42,C47)</f>
        <v>29415183.308864903</v>
      </c>
      <c r="D7" s="149">
        <f>SUM(D12,D17,D22,D27,D32,D37,D42,D47)</f>
        <v>13902965.054036137</v>
      </c>
      <c r="E7" s="166">
        <f>C7/D7</f>
        <v>2.1157489207904936</v>
      </c>
      <c r="F7" s="167">
        <f>C7-D7</f>
        <v>15512218.254828766</v>
      </c>
      <c r="H7" s="147" t="s">
        <v>128</v>
      </c>
      <c r="I7" s="354">
        <f t="shared" ref="I7" si="0">ROUND(C7,4-(1+INT(LOG10(ABS(C7)))))/10^6</f>
        <v>29.42</v>
      </c>
      <c r="J7" s="354">
        <f t="shared" ref="J7" si="1">ROUND(D7,4-(1+INT(LOG10(ABS(D7)))))/10^6</f>
        <v>13.9</v>
      </c>
      <c r="K7" s="166">
        <f>I7/J7</f>
        <v>2.1165467625899281</v>
      </c>
      <c r="L7" s="355">
        <f t="shared" ref="L7" si="2">ROUND(F7,4-(1+INT(LOG10(ABS(F7)))))/10^6</f>
        <v>15.51</v>
      </c>
      <c r="M7"/>
      <c r="N7" t="str">
        <f>"$"&amp;I7&amp;" million"</f>
        <v>$29.42 million</v>
      </c>
      <c r="O7" s="150" t="str">
        <f>"$"&amp;J7&amp;" million"</f>
        <v>$13.9 million</v>
      </c>
      <c r="P7" s="181">
        <f>K7</f>
        <v>2.1165467625899281</v>
      </c>
      <c r="Q7" s="150" t="str">
        <f>"$"&amp;L7&amp;" million"</f>
        <v>$15.51 million</v>
      </c>
      <c r="R7"/>
      <c r="S7"/>
      <c r="T7"/>
      <c r="U7"/>
    </row>
    <row r="8" spans="1:21" ht="15" customHeight="1" x14ac:dyDescent="0.25">
      <c r="C8" s="168"/>
      <c r="D8" s="168"/>
      <c r="E8" s="100"/>
      <c r="F8" s="100"/>
      <c r="H8" s="150"/>
      <c r="I8" s="356"/>
      <c r="J8" s="356"/>
      <c r="K8" s="201"/>
      <c r="L8" s="164"/>
      <c r="M8"/>
      <c r="N8"/>
      <c r="O8"/>
      <c r="P8" s="158"/>
      <c r="Q8"/>
      <c r="R8"/>
      <c r="S8"/>
      <c r="T8"/>
      <c r="U8"/>
    </row>
    <row r="9" spans="1:21" ht="15" customHeight="1" x14ac:dyDescent="0.25">
      <c r="D9" s="100"/>
      <c r="E9" s="100"/>
      <c r="F9" s="100"/>
      <c r="H9" s="150"/>
      <c r="I9" s="164"/>
      <c r="J9" s="164"/>
      <c r="K9" s="201"/>
      <c r="L9" s="164"/>
      <c r="M9"/>
      <c r="N9"/>
      <c r="O9"/>
      <c r="P9" s="158"/>
      <c r="Q9"/>
      <c r="R9"/>
      <c r="S9"/>
      <c r="T9"/>
      <c r="U9"/>
    </row>
    <row r="10" spans="1:21" ht="15" customHeight="1" thickBot="1" x14ac:dyDescent="0.3">
      <c r="B10" s="165" t="s">
        <v>337</v>
      </c>
      <c r="C10" s="154"/>
      <c r="D10" s="150"/>
      <c r="E10" s="157"/>
      <c r="F10" s="157"/>
      <c r="H10" s="165" t="str">
        <f>B10</f>
        <v>A: Harbor Improvements</v>
      </c>
      <c r="I10" s="357"/>
      <c r="J10" s="164"/>
      <c r="K10" s="157"/>
      <c r="L10" s="358"/>
      <c r="M10"/>
      <c r="N10"/>
      <c r="O10"/>
      <c r="P10" s="158"/>
      <c r="Q10"/>
      <c r="R10"/>
      <c r="S10"/>
      <c r="T10"/>
      <c r="U10"/>
    </row>
    <row r="11" spans="1:21" ht="15" customHeight="1" thickBot="1" x14ac:dyDescent="0.3">
      <c r="B11" s="162"/>
      <c r="C11" s="148" t="s">
        <v>18</v>
      </c>
      <c r="D11" s="148" t="s">
        <v>19</v>
      </c>
      <c r="E11" s="148" t="s">
        <v>20</v>
      </c>
      <c r="F11" s="161" t="s">
        <v>50</v>
      </c>
      <c r="H11" s="162"/>
      <c r="I11" s="359" t="s">
        <v>18</v>
      </c>
      <c r="J11" s="359" t="s">
        <v>19</v>
      </c>
      <c r="K11" s="361" t="s">
        <v>20</v>
      </c>
      <c r="L11" s="360" t="s">
        <v>50</v>
      </c>
      <c r="M11"/>
      <c r="N11"/>
      <c r="O11"/>
      <c r="P11" s="158"/>
      <c r="Q11"/>
      <c r="R11"/>
      <c r="S11"/>
      <c r="T11"/>
      <c r="U11"/>
    </row>
    <row r="12" spans="1:21" ht="15" customHeight="1" thickBot="1" x14ac:dyDescent="0.3">
      <c r="B12" s="147" t="s">
        <v>128</v>
      </c>
      <c r="C12" s="149">
        <f>'A_Harbor Improvements_Costs'!J50</f>
        <v>2509568.9097465007</v>
      </c>
      <c r="D12" s="149">
        <f>'A_Harbor Improvements_Costs'!J51</f>
        <v>1490968.0721411409</v>
      </c>
      <c r="E12" s="166">
        <f>C12/D12</f>
        <v>1.6831808518492104</v>
      </c>
      <c r="F12" s="167">
        <f>C12-D12</f>
        <v>1018600.8376053597</v>
      </c>
      <c r="H12" s="147" t="s">
        <v>128</v>
      </c>
      <c r="I12" s="354">
        <f t="shared" ref="I12" si="3">ROUND(C12,4-(1+INT(LOG10(ABS(C12)))))/10^6</f>
        <v>2.5099999999999998</v>
      </c>
      <c r="J12" s="354">
        <f t="shared" ref="J12" si="4">ROUND(D12,4-(1+INT(LOG10(ABS(D12)))))/10^6</f>
        <v>1.4910000000000001</v>
      </c>
      <c r="K12" s="166">
        <f>I12/J12</f>
        <v>1.6834339369550635</v>
      </c>
      <c r="L12" s="355">
        <f t="shared" ref="L12" si="5">ROUND(F12,4-(1+INT(LOG10(ABS(F12)))))/10^6</f>
        <v>1.0189999999999999</v>
      </c>
      <c r="M12"/>
      <c r="N12" s="150" t="str">
        <f>"$"&amp;I12&amp;" million"</f>
        <v>$2.51 million</v>
      </c>
      <c r="O12" s="150" t="str">
        <f>"$"&amp;J12&amp;" million"</f>
        <v>$1.491 million</v>
      </c>
      <c r="P12" s="181">
        <f>K12</f>
        <v>1.6834339369550635</v>
      </c>
      <c r="Q12" s="150" t="str">
        <f>"$"&amp;L12&amp;" million"</f>
        <v>$1.019 million</v>
      </c>
      <c r="R12"/>
      <c r="S12"/>
      <c r="T12"/>
      <c r="U12"/>
    </row>
    <row r="13" spans="1:21" ht="15" customHeight="1" x14ac:dyDescent="0.25">
      <c r="H13" s="150"/>
      <c r="I13" s="164"/>
      <c r="J13" s="164"/>
      <c r="K13" s="201"/>
      <c r="L13" s="164"/>
      <c r="M13"/>
      <c r="N13"/>
      <c r="O13"/>
      <c r="P13" s="158"/>
      <c r="Q13"/>
      <c r="R13"/>
      <c r="S13"/>
      <c r="T13"/>
      <c r="U13"/>
    </row>
    <row r="14" spans="1:21" ht="15" customHeight="1" x14ac:dyDescent="0.25">
      <c r="D14" s="100"/>
      <c r="E14" s="100"/>
      <c r="F14" s="100"/>
      <c r="H14" s="150"/>
      <c r="I14" s="164"/>
      <c r="J14" s="164"/>
      <c r="K14" s="201"/>
      <c r="L14" s="164"/>
      <c r="M14"/>
      <c r="N14"/>
      <c r="O14"/>
      <c r="P14" s="158"/>
      <c r="Q14"/>
      <c r="R14"/>
      <c r="S14"/>
      <c r="T14"/>
      <c r="U14"/>
    </row>
    <row r="15" spans="1:21" ht="15" customHeight="1" thickBot="1" x14ac:dyDescent="0.3">
      <c r="B15" s="165" t="s">
        <v>259</v>
      </c>
      <c r="C15" s="154"/>
      <c r="D15" s="150"/>
      <c r="E15" s="157"/>
      <c r="F15" s="157"/>
      <c r="H15" s="219" t="str">
        <f>B15</f>
        <v>B: Bainbridge Street/County Highway B/Dawson Avenue/Fanta Reed Road Improvements</v>
      </c>
      <c r="I15" s="357"/>
      <c r="J15" s="164"/>
      <c r="K15" s="157"/>
      <c r="L15" s="358"/>
      <c r="M15"/>
      <c r="N15"/>
      <c r="O15"/>
      <c r="P15" s="158"/>
      <c r="Q15"/>
      <c r="R15"/>
      <c r="S15"/>
      <c r="T15"/>
      <c r="U15"/>
    </row>
    <row r="16" spans="1:21" ht="15" customHeight="1" thickBot="1" x14ac:dyDescent="0.3">
      <c r="B16" s="162"/>
      <c r="C16" s="148" t="s">
        <v>18</v>
      </c>
      <c r="D16" s="148" t="s">
        <v>19</v>
      </c>
      <c r="E16" s="148" t="s">
        <v>20</v>
      </c>
      <c r="F16" s="161" t="s">
        <v>50</v>
      </c>
      <c r="H16" s="162"/>
      <c r="I16" s="359" t="s">
        <v>18</v>
      </c>
      <c r="J16" s="359" t="s">
        <v>19</v>
      </c>
      <c r="K16" s="361" t="s">
        <v>20</v>
      </c>
      <c r="L16" s="360" t="s">
        <v>50</v>
      </c>
      <c r="M16"/>
      <c r="N16"/>
      <c r="O16"/>
      <c r="P16" s="158"/>
      <c r="Q16"/>
      <c r="R16"/>
      <c r="S16"/>
      <c r="T16"/>
      <c r="U16"/>
    </row>
    <row r="17" spans="2:21" ht="15" customHeight="1" thickBot="1" x14ac:dyDescent="0.3">
      <c r="B17" s="147" t="s">
        <v>128</v>
      </c>
      <c r="C17" s="149">
        <f>'B_Roadway Improvements_Costs'!J46</f>
        <v>18160214.34019326</v>
      </c>
      <c r="D17" s="149">
        <f>'B_Roadway Improvements_Costs'!J47</f>
        <v>8665965.7541476134</v>
      </c>
      <c r="E17" s="166">
        <f>C17/D17</f>
        <v>2.0955788258800365</v>
      </c>
      <c r="F17" s="167">
        <f>C17-D17</f>
        <v>9494248.586045647</v>
      </c>
      <c r="H17" s="147" t="s">
        <v>128</v>
      </c>
      <c r="I17" s="354">
        <f t="shared" ref="I17" si="6">ROUND(C17,4-(1+INT(LOG10(ABS(C17)))))/10^6</f>
        <v>18.16</v>
      </c>
      <c r="J17" s="354">
        <f t="shared" ref="J17" si="7">ROUND(D17,4-(1+INT(LOG10(ABS(D17)))))/10^6</f>
        <v>8.6660000000000004</v>
      </c>
      <c r="K17" s="166">
        <f>I17/J17</f>
        <v>2.0955458112162475</v>
      </c>
      <c r="L17" s="355">
        <f t="shared" ref="L17" si="8">ROUND(F17,4-(1+INT(LOG10(ABS(F17)))))/10^6</f>
        <v>9.4939999999999998</v>
      </c>
      <c r="M17"/>
      <c r="N17" s="150" t="str">
        <f>"$"&amp;I17&amp;" million"</f>
        <v>$18.16 million</v>
      </c>
      <c r="O17" s="150" t="str">
        <f>"$"&amp;J17&amp;" million"</f>
        <v>$8.666 million</v>
      </c>
      <c r="P17" s="181">
        <f>K17</f>
        <v>2.0955458112162475</v>
      </c>
      <c r="Q17" s="150" t="str">
        <f>"$"&amp;L17&amp;" million"</f>
        <v>$9.494 million</v>
      </c>
      <c r="R17"/>
      <c r="S17"/>
      <c r="T17"/>
      <c r="U17"/>
    </row>
    <row r="18" spans="2:21" ht="15" customHeight="1" x14ac:dyDescent="0.25">
      <c r="D18" s="100"/>
      <c r="E18" s="100"/>
      <c r="F18" s="100"/>
      <c r="H18" s="150"/>
      <c r="I18" s="164"/>
      <c r="J18" s="164"/>
      <c r="K18" s="201"/>
      <c r="L18" s="164"/>
      <c r="P18" s="158"/>
      <c r="T18"/>
      <c r="U18"/>
    </row>
    <row r="19" spans="2:21" s="100" customFormat="1" ht="15" customHeight="1" x14ac:dyDescent="0.25">
      <c r="B19"/>
      <c r="C19"/>
      <c r="D19"/>
      <c r="E19"/>
      <c r="F19" s="48"/>
      <c r="G19" s="220"/>
      <c r="H19" s="150"/>
      <c r="I19" s="164"/>
      <c r="J19" s="164"/>
      <c r="K19" s="201"/>
      <c r="L19" s="164"/>
      <c r="P19" s="158"/>
    </row>
    <row r="20" spans="2:21" s="100" customFormat="1" ht="15" customHeight="1" thickBot="1" x14ac:dyDescent="0.3">
      <c r="B20" s="219" t="s">
        <v>266</v>
      </c>
      <c r="C20" s="154"/>
      <c r="D20" s="150"/>
      <c r="E20" s="157"/>
      <c r="F20" s="157"/>
      <c r="G20" s="220"/>
      <c r="H20" s="219" t="str">
        <f>B20</f>
        <v>C: La Crosse Regional Airport Improvements</v>
      </c>
      <c r="I20" s="357"/>
      <c r="J20" s="164"/>
      <c r="K20" s="157"/>
      <c r="L20" s="358"/>
      <c r="M20"/>
      <c r="N20"/>
      <c r="O20"/>
      <c r="P20" s="158"/>
      <c r="Q20"/>
      <c r="R20"/>
      <c r="S20"/>
    </row>
    <row r="21" spans="2:21" ht="15" customHeight="1" thickBot="1" x14ac:dyDescent="0.3">
      <c r="B21" s="162"/>
      <c r="C21" s="148" t="s">
        <v>18</v>
      </c>
      <c r="D21" s="148" t="s">
        <v>19</v>
      </c>
      <c r="E21" s="148" t="s">
        <v>20</v>
      </c>
      <c r="F21" s="161" t="s">
        <v>50</v>
      </c>
      <c r="H21" s="162"/>
      <c r="I21" s="359" t="s">
        <v>18</v>
      </c>
      <c r="J21" s="359" t="s">
        <v>19</v>
      </c>
      <c r="K21" s="361" t="s">
        <v>20</v>
      </c>
      <c r="L21" s="360" t="s">
        <v>50</v>
      </c>
      <c r="M21"/>
      <c r="N21"/>
      <c r="O21"/>
      <c r="P21" s="158"/>
      <c r="Q21"/>
      <c r="R21"/>
      <c r="S21"/>
      <c r="T21"/>
      <c r="U21"/>
    </row>
    <row r="22" spans="2:21" ht="15" customHeight="1" thickBot="1" x14ac:dyDescent="0.3">
      <c r="B22" s="147" t="s">
        <v>128</v>
      </c>
      <c r="C22" s="149">
        <f>'C_La Crosse Airport_Costs'!J50</f>
        <v>421608.22536089295</v>
      </c>
      <c r="D22" s="149">
        <f>'C_La Crosse Airport_Costs'!J51</f>
        <v>999029.42182437668</v>
      </c>
      <c r="E22" s="166">
        <f>C22/D22</f>
        <v>0.42201782665316651</v>
      </c>
      <c r="F22" s="167">
        <f>C22-D22</f>
        <v>-577421.19646348373</v>
      </c>
      <c r="H22" s="147" t="s">
        <v>128</v>
      </c>
      <c r="I22" s="354">
        <f t="shared" ref="I22:J22" si="9">ROUND(C22,4-(1+INT(LOG10(ABS(C22)))))/10^6</f>
        <v>0.42159999999999997</v>
      </c>
      <c r="J22" s="354">
        <f t="shared" si="9"/>
        <v>0.999</v>
      </c>
      <c r="K22" s="166">
        <f>I22/J22</f>
        <v>0.42202202202202199</v>
      </c>
      <c r="L22" s="355">
        <f t="shared" ref="L22" si="10">ROUND(F22,4-(1+INT(LOG10(ABS(F22)))))/10^6</f>
        <v>-0.57740000000000002</v>
      </c>
      <c r="M22"/>
      <c r="N22" s="150" t="str">
        <f>"$"&amp;I22&amp;" million"</f>
        <v>$0.4216 million</v>
      </c>
      <c r="O22" s="150" t="str">
        <f>"$"&amp;J22&amp;" million"</f>
        <v>$0.999 million</v>
      </c>
      <c r="P22" s="181">
        <f>K22</f>
        <v>0.42202202202202199</v>
      </c>
      <c r="Q22" s="150" t="str">
        <f>"$"&amp;L22&amp;" million"</f>
        <v>$-0.5774 million</v>
      </c>
      <c r="R22"/>
      <c r="S22"/>
      <c r="T22"/>
      <c r="U22"/>
    </row>
    <row r="23" spans="2:21" ht="15" customHeight="1" x14ac:dyDescent="0.25">
      <c r="H23" s="150"/>
      <c r="I23" s="164"/>
      <c r="J23" s="164"/>
      <c r="K23" s="201"/>
      <c r="L23" s="164"/>
      <c r="M23"/>
      <c r="N23"/>
      <c r="O23"/>
      <c r="P23" s="158"/>
      <c r="Q23"/>
      <c r="R23"/>
      <c r="S23"/>
      <c r="T23"/>
      <c r="U23"/>
    </row>
    <row r="24" spans="2:21" ht="15" customHeight="1" x14ac:dyDescent="0.25">
      <c r="H24" s="150"/>
      <c r="I24" s="164"/>
      <c r="J24" s="164"/>
      <c r="K24" s="201"/>
      <c r="L24" s="164"/>
      <c r="M24" s="52"/>
      <c r="N24" s="52"/>
      <c r="O24" s="52"/>
      <c r="P24" s="158"/>
      <c r="Q24" s="52"/>
      <c r="R24" s="52"/>
      <c r="S24" s="52"/>
      <c r="T24"/>
      <c r="U24"/>
    </row>
    <row r="25" spans="2:21" s="52" customFormat="1" ht="16.5" thickBot="1" x14ac:dyDescent="0.3">
      <c r="B25" s="165" t="s">
        <v>267</v>
      </c>
      <c r="C25" s="154"/>
      <c r="D25" s="150"/>
      <c r="E25" s="157"/>
      <c r="F25" s="157"/>
      <c r="G25" s="220"/>
      <c r="H25" s="219" t="str">
        <f>B25</f>
        <v>D: EV Station</v>
      </c>
      <c r="I25" s="357"/>
      <c r="J25" s="164"/>
      <c r="K25" s="157"/>
      <c r="L25" s="358"/>
      <c r="P25" s="158"/>
    </row>
    <row r="26" spans="2:21" s="52" customFormat="1" ht="15.75" thickBot="1" x14ac:dyDescent="0.3">
      <c r="B26" s="162"/>
      <c r="C26" s="148" t="s">
        <v>18</v>
      </c>
      <c r="D26" s="148" t="s">
        <v>19</v>
      </c>
      <c r="E26" s="148" t="s">
        <v>20</v>
      </c>
      <c r="F26" s="161" t="s">
        <v>50</v>
      </c>
      <c r="G26" s="220"/>
      <c r="H26" s="162"/>
      <c r="I26" s="359" t="s">
        <v>18</v>
      </c>
      <c r="J26" s="359" t="s">
        <v>19</v>
      </c>
      <c r="K26" s="361" t="s">
        <v>20</v>
      </c>
      <c r="L26" s="360" t="s">
        <v>50</v>
      </c>
      <c r="P26" s="158"/>
    </row>
    <row r="27" spans="2:21" s="52" customFormat="1" ht="15.75" thickBot="1" x14ac:dyDescent="0.3">
      <c r="B27" s="147" t="s">
        <v>128</v>
      </c>
      <c r="C27" s="149">
        <f>'D_EV Charging Costs'!J50</f>
        <v>498060.29961108021</v>
      </c>
      <c r="D27" s="149">
        <f>'D_EV Charging Costs'!J51</f>
        <v>34990.880592218666</v>
      </c>
      <c r="E27" s="166">
        <f>C27/D27</f>
        <v>14.23400300825352</v>
      </c>
      <c r="F27" s="167">
        <f>C27-D27</f>
        <v>463069.41901886155</v>
      </c>
      <c r="G27" s="220"/>
      <c r="H27" s="147" t="s">
        <v>128</v>
      </c>
      <c r="I27" s="354">
        <f t="shared" ref="I27" si="11">ROUND(C27,4-(1+INT(LOG10(ABS(C27)))))/10^6</f>
        <v>0.49809999999999999</v>
      </c>
      <c r="J27" s="354">
        <f t="shared" ref="J27" si="12">ROUND(D27,4-(1+INT(LOG10(ABS(D27)))))/10^6</f>
        <v>3.499E-2</v>
      </c>
      <c r="K27" s="166">
        <f>I27/J27</f>
        <v>14.235495855958845</v>
      </c>
      <c r="L27" s="354">
        <f t="shared" ref="L27" si="13">ROUND(F27,4-(1+INT(LOG10(ABS(F27)))))/10^6</f>
        <v>0.46310000000000001</v>
      </c>
      <c r="N27" s="150" t="str">
        <f>"$"&amp;I27&amp;" million"</f>
        <v>$0.4981 million</v>
      </c>
      <c r="O27" s="150" t="str">
        <f>"$"&amp;J27&amp;" million"</f>
        <v>$0.03499 million</v>
      </c>
      <c r="P27" s="181">
        <f>K27</f>
        <v>14.235495855958845</v>
      </c>
      <c r="Q27" s="150" t="str">
        <f>"$"&amp;L27&amp;" million"</f>
        <v>$0.4631 million</v>
      </c>
    </row>
    <row r="28" spans="2:21" s="52" customFormat="1" x14ac:dyDescent="0.25">
      <c r="G28" s="220"/>
      <c r="H28" s="150"/>
      <c r="I28" s="164"/>
      <c r="J28" s="164"/>
      <c r="K28" s="201"/>
      <c r="L28" s="164"/>
    </row>
    <row r="29" spans="2:21" s="52" customFormat="1" x14ac:dyDescent="0.25">
      <c r="B29"/>
      <c r="C29"/>
      <c r="D29"/>
      <c r="E29"/>
      <c r="F29" s="48"/>
      <c r="G29" s="220"/>
      <c r="H29" s="150"/>
      <c r="I29" s="164"/>
      <c r="J29" s="164"/>
      <c r="K29" s="201"/>
      <c r="L29" s="164"/>
    </row>
    <row r="30" spans="2:21" s="52" customFormat="1" ht="16.5" thickBot="1" x14ac:dyDescent="0.3">
      <c r="B30" s="219" t="s">
        <v>268</v>
      </c>
      <c r="C30" s="154"/>
      <c r="D30" s="220"/>
      <c r="E30" s="157"/>
      <c r="F30" s="157"/>
      <c r="G30" s="220"/>
      <c r="H30" s="219" t="str">
        <f>B30</f>
        <v>E: Fiber Optic Connection</v>
      </c>
      <c r="I30" s="357"/>
      <c r="J30" s="164"/>
      <c r="K30" s="157"/>
      <c r="L30" s="358"/>
    </row>
    <row r="31" spans="2:21" s="52" customFormat="1" ht="15.75" thickBot="1" x14ac:dyDescent="0.3">
      <c r="B31" s="162"/>
      <c r="C31" s="148" t="s">
        <v>18</v>
      </c>
      <c r="D31" s="148" t="s">
        <v>19</v>
      </c>
      <c r="E31" s="148" t="s">
        <v>20</v>
      </c>
      <c r="F31" s="161" t="s">
        <v>50</v>
      </c>
      <c r="G31" s="220"/>
      <c r="H31" s="162"/>
      <c r="I31" s="359" t="s">
        <v>18</v>
      </c>
      <c r="J31" s="359" t="s">
        <v>19</v>
      </c>
      <c r="K31" s="361" t="s">
        <v>20</v>
      </c>
      <c r="L31" s="360" t="s">
        <v>50</v>
      </c>
    </row>
    <row r="32" spans="2:21" s="52" customFormat="1" ht="15.75" thickBot="1" x14ac:dyDescent="0.3">
      <c r="B32" s="147" t="s">
        <v>128</v>
      </c>
      <c r="C32" s="149">
        <f>'E_Fiber Optic Costs'!J50</f>
        <v>347995.89116487314</v>
      </c>
      <c r="D32" s="149">
        <f>'E_Fiber Optic Costs'!J51</f>
        <v>204074.46922271297</v>
      </c>
      <c r="E32" s="166">
        <f>C32/D32</f>
        <v>1.705239722001159</v>
      </c>
      <c r="F32" s="167">
        <f>C32-D32</f>
        <v>143921.42194216017</v>
      </c>
      <c r="G32" s="220"/>
      <c r="H32" s="147" t="s">
        <v>128</v>
      </c>
      <c r="I32" s="354">
        <f t="shared" ref="I32" si="14">ROUND(C32,4-(1+INT(LOG10(ABS(C32)))))/10^6</f>
        <v>0.34799999999999998</v>
      </c>
      <c r="J32" s="354">
        <f t="shared" ref="J32" si="15">ROUND(D32,4-(1+INT(LOG10(ABS(D32)))))/10^6</f>
        <v>0.2041</v>
      </c>
      <c r="K32" s="166">
        <f>I32/J32</f>
        <v>1.7050465458108768</v>
      </c>
      <c r="L32" s="355">
        <f t="shared" ref="L32" si="16">ROUND(F32,4-(1+INT(LOG10(ABS(F32)))))/10^6</f>
        <v>0.1439</v>
      </c>
    </row>
    <row r="33" spans="2:12" s="52" customFormat="1" x14ac:dyDescent="0.25">
      <c r="B33"/>
      <c r="C33"/>
      <c r="D33"/>
      <c r="E33"/>
      <c r="F33" s="48"/>
      <c r="G33" s="220"/>
      <c r="H33"/>
      <c r="I33" s="164"/>
      <c r="J33" s="164"/>
      <c r="K33" s="201"/>
      <c r="L33" s="164"/>
    </row>
    <row r="34" spans="2:12" s="52" customFormat="1" x14ac:dyDescent="0.25">
      <c r="B34"/>
      <c r="C34"/>
      <c r="D34"/>
      <c r="E34"/>
      <c r="F34" s="48"/>
      <c r="G34" s="220"/>
      <c r="H34"/>
      <c r="I34" s="164"/>
      <c r="J34" s="164"/>
      <c r="K34" s="201"/>
      <c r="L34" s="164"/>
    </row>
    <row r="35" spans="2:12" s="52" customFormat="1" ht="16.5" thickBot="1" x14ac:dyDescent="0.3">
      <c r="B35" s="219" t="s">
        <v>269</v>
      </c>
      <c r="C35" s="154"/>
      <c r="D35" s="220"/>
      <c r="E35" s="157"/>
      <c r="F35" s="157"/>
      <c r="G35" s="220"/>
      <c r="H35" s="219" t="str">
        <f>B35</f>
        <v xml:space="preserve">F: Copeland Park Sidewalk Installation </v>
      </c>
      <c r="I35" s="357"/>
      <c r="J35" s="164"/>
      <c r="K35" s="157"/>
      <c r="L35" s="358"/>
    </row>
    <row r="36" spans="2:12" s="52" customFormat="1" ht="15.75" thickBot="1" x14ac:dyDescent="0.3">
      <c r="B36" s="162"/>
      <c r="C36" s="148" t="s">
        <v>18</v>
      </c>
      <c r="D36" s="148" t="s">
        <v>19</v>
      </c>
      <c r="E36" s="148" t="s">
        <v>20</v>
      </c>
      <c r="F36" s="161" t="s">
        <v>50</v>
      </c>
      <c r="G36" s="220"/>
      <c r="H36" s="162"/>
      <c r="I36" s="359" t="s">
        <v>18</v>
      </c>
      <c r="J36" s="359" t="s">
        <v>19</v>
      </c>
      <c r="K36" s="361" t="s">
        <v>20</v>
      </c>
      <c r="L36" s="360" t="s">
        <v>50</v>
      </c>
    </row>
    <row r="37" spans="2:12" s="52" customFormat="1" ht="15.75" thickBot="1" x14ac:dyDescent="0.3">
      <c r="B37" s="147" t="s">
        <v>128</v>
      </c>
      <c r="C37" s="149">
        <f>'F_Copeland Sidewalk_Costs'!J50</f>
        <v>1018860.4569457959</v>
      </c>
      <c r="D37" s="149">
        <f>'F_Copeland Sidewalk_Costs'!J51</f>
        <v>408148.93844542594</v>
      </c>
      <c r="E37" s="166">
        <f>C37/D37</f>
        <v>2.4962957415164975</v>
      </c>
      <c r="F37" s="167">
        <f>C37-D37</f>
        <v>610711.51850036997</v>
      </c>
      <c r="G37" s="220"/>
      <c r="H37" s="147" t="s">
        <v>128</v>
      </c>
      <c r="I37" s="354">
        <f t="shared" ref="I37" si="17">ROUND(C37,4-(1+INT(LOG10(ABS(C37)))))/10^6</f>
        <v>1.0189999999999999</v>
      </c>
      <c r="J37" s="354">
        <f t="shared" ref="J37" si="18">ROUND(D37,4-(1+INT(LOG10(ABS(D37)))))/10^6</f>
        <v>0.40810000000000002</v>
      </c>
      <c r="K37" s="166">
        <f>I37/J37</f>
        <v>2.4969370252389118</v>
      </c>
      <c r="L37" s="355">
        <f t="shared" ref="L37" si="19">ROUND(F37,4-(1+INT(LOG10(ABS(F37)))))/10^6</f>
        <v>0.61070000000000002</v>
      </c>
    </row>
    <row r="38" spans="2:12" s="52" customFormat="1" x14ac:dyDescent="0.25">
      <c r="G38" s="220"/>
      <c r="H38"/>
      <c r="I38" s="164"/>
      <c r="J38" s="164"/>
      <c r="K38" s="201"/>
      <c r="L38" s="164"/>
    </row>
    <row r="39" spans="2:12" s="52" customFormat="1" x14ac:dyDescent="0.25">
      <c r="G39" s="220"/>
      <c r="H39"/>
      <c r="I39" s="164"/>
      <c r="J39" s="164"/>
      <c r="K39" s="201"/>
      <c r="L39" s="164"/>
    </row>
    <row r="40" spans="2:12" s="52" customFormat="1" ht="16.5" thickBot="1" x14ac:dyDescent="0.3">
      <c r="B40" s="219" t="s">
        <v>338</v>
      </c>
      <c r="C40" s="154"/>
      <c r="D40" s="220"/>
      <c r="E40" s="157"/>
      <c r="F40" s="157"/>
      <c r="G40" s="220"/>
      <c r="H40" s="219" t="str">
        <f>B40</f>
        <v>G: Copeland Park Pier</v>
      </c>
      <c r="I40" s="357"/>
      <c r="J40" s="164"/>
      <c r="K40" s="157"/>
      <c r="L40" s="358"/>
    </row>
    <row r="41" spans="2:12" s="52" customFormat="1" ht="15.75" thickBot="1" x14ac:dyDescent="0.3">
      <c r="B41" s="162"/>
      <c r="C41" s="148" t="s">
        <v>18</v>
      </c>
      <c r="D41" s="148" t="s">
        <v>19</v>
      </c>
      <c r="E41" s="148" t="s">
        <v>20</v>
      </c>
      <c r="F41" s="161" t="s">
        <v>50</v>
      </c>
      <c r="G41" s="220"/>
      <c r="H41" s="162"/>
      <c r="I41" s="359" t="s">
        <v>18</v>
      </c>
      <c r="J41" s="359" t="s">
        <v>19</v>
      </c>
      <c r="K41" s="361" t="s">
        <v>20</v>
      </c>
      <c r="L41" s="360" t="s">
        <v>50</v>
      </c>
    </row>
    <row r="42" spans="2:12" s="52" customFormat="1" ht="15.75" thickBot="1" x14ac:dyDescent="0.3">
      <c r="B42" s="147" t="s">
        <v>128</v>
      </c>
      <c r="C42" s="149">
        <f>'G_Copeland Park Pier_Costs'!J50</f>
        <v>437135.54568410042</v>
      </c>
      <c r="D42" s="149">
        <f>'F_Copeland Sidewalk_Costs'!D45</f>
        <v>408148.93844542594</v>
      </c>
      <c r="E42" s="166">
        <f>C42/D42</f>
        <v>1.071019680582975</v>
      </c>
      <c r="F42" s="167">
        <f>C42-D42</f>
        <v>28986.607238674478</v>
      </c>
      <c r="G42" s="220"/>
      <c r="H42" s="147" t="s">
        <v>128</v>
      </c>
      <c r="I42" s="354">
        <f t="shared" ref="I42" si="20">ROUND(C42,4-(1+INT(LOG10(ABS(C42)))))/10^6</f>
        <v>0.43709999999999999</v>
      </c>
      <c r="J42" s="354">
        <f t="shared" ref="J42" si="21">ROUND(D42,4-(1+INT(LOG10(ABS(D42)))))/10^6</f>
        <v>0.40810000000000002</v>
      </c>
      <c r="K42" s="166">
        <f>I42/J42</f>
        <v>1.0710610144572408</v>
      </c>
      <c r="L42" s="355">
        <f t="shared" ref="L42" si="22">ROUND(F42,4-(1+INT(LOG10(ABS(F42)))))/10^6</f>
        <v>2.8989999999999998E-2</v>
      </c>
    </row>
    <row r="43" spans="2:12" s="52" customFormat="1" x14ac:dyDescent="0.25">
      <c r="B43"/>
      <c r="C43"/>
      <c r="D43"/>
      <c r="E43"/>
      <c r="F43" s="48"/>
      <c r="G43" s="220"/>
      <c r="H43"/>
      <c r="I43" s="164"/>
      <c r="J43" s="164"/>
      <c r="K43" s="201"/>
      <c r="L43" s="164"/>
    </row>
    <row r="44" spans="2:12" s="52" customFormat="1" x14ac:dyDescent="0.25">
      <c r="B44"/>
      <c r="C44"/>
      <c r="D44"/>
      <c r="E44"/>
      <c r="F44" s="48"/>
      <c r="G44" s="220"/>
      <c r="H44"/>
      <c r="I44" s="164"/>
      <c r="J44" s="164"/>
      <c r="K44" s="201"/>
      <c r="L44" s="164"/>
    </row>
    <row r="45" spans="2:12" s="52" customFormat="1" ht="16.5" thickBot="1" x14ac:dyDescent="0.3">
      <c r="B45" s="219" t="s">
        <v>309</v>
      </c>
      <c r="C45" s="154"/>
      <c r="D45" s="220"/>
      <c r="E45" s="157"/>
      <c r="F45" s="157"/>
      <c r="G45" s="220"/>
      <c r="H45" s="219" t="str">
        <f>B45</f>
        <v>H: Town of Campbell Watermain Infrastructure</v>
      </c>
      <c r="I45" s="357"/>
      <c r="J45" s="164"/>
      <c r="K45" s="157"/>
      <c r="L45" s="358"/>
    </row>
    <row r="46" spans="2:12" s="52" customFormat="1" ht="15.75" thickBot="1" x14ac:dyDescent="0.3">
      <c r="B46" s="162"/>
      <c r="C46" s="148" t="s">
        <v>18</v>
      </c>
      <c r="D46" s="148" t="s">
        <v>19</v>
      </c>
      <c r="E46" s="148" t="s">
        <v>20</v>
      </c>
      <c r="F46" s="161" t="s">
        <v>50</v>
      </c>
      <c r="G46" s="220"/>
      <c r="H46" s="162"/>
      <c r="I46" s="359" t="s">
        <v>18</v>
      </c>
      <c r="J46" s="359" t="s">
        <v>19</v>
      </c>
      <c r="K46" s="361" t="s">
        <v>20</v>
      </c>
      <c r="L46" s="360" t="s">
        <v>50</v>
      </c>
    </row>
    <row r="47" spans="2:12" s="52" customFormat="1" ht="15.75" thickBot="1" x14ac:dyDescent="0.3">
      <c r="B47" s="147" t="s">
        <v>128</v>
      </c>
      <c r="C47" s="149">
        <f>'H_Campbell Watermain_Costs'!J50</f>
        <v>6021739.640158399</v>
      </c>
      <c r="D47" s="149">
        <f>'H_Campbell Watermain_Costs'!J51</f>
        <v>1691638.579217219</v>
      </c>
      <c r="E47" s="166">
        <f>C47/D47</f>
        <v>3.5597081516932954</v>
      </c>
      <c r="F47" s="167">
        <f>C47-D47</f>
        <v>4330101.0609411802</v>
      </c>
      <c r="G47" s="220"/>
      <c r="H47" s="147" t="s">
        <v>128</v>
      </c>
      <c r="I47" s="354">
        <f t="shared" ref="I47" si="23">ROUND(C47,4-(1+INT(LOG10(ABS(C47)))))/10^6</f>
        <v>6.0220000000000002</v>
      </c>
      <c r="J47" s="354">
        <f t="shared" ref="J47" si="24">ROUND(D47,4-(1+INT(LOG10(ABS(D47)))))/10^6</f>
        <v>1.6919999999999999</v>
      </c>
      <c r="K47" s="166">
        <f>I47/J47</f>
        <v>3.5591016548463359</v>
      </c>
      <c r="L47" s="355">
        <f t="shared" ref="L47" si="25">ROUND(F47,4-(1+INT(LOG10(ABS(F47)))))/10^6</f>
        <v>4.33</v>
      </c>
    </row>
    <row r="48" spans="2:12" s="52" customFormat="1" x14ac:dyDescent="0.25">
      <c r="B48"/>
      <c r="C48"/>
      <c r="D48"/>
      <c r="E48"/>
      <c r="F48" s="48"/>
      <c r="G48" s="220"/>
      <c r="H48"/>
      <c r="I48"/>
      <c r="J48"/>
    </row>
    <row r="49" spans="2:21" s="52" customFormat="1" x14ac:dyDescent="0.25">
      <c r="B49"/>
      <c r="C49"/>
      <c r="D49"/>
      <c r="E49"/>
      <c r="F49" s="48"/>
      <c r="G49" s="220"/>
      <c r="H49"/>
      <c r="I49"/>
      <c r="J49"/>
    </row>
    <row r="50" spans="2:21" s="52" customFormat="1" x14ac:dyDescent="0.25">
      <c r="B50"/>
      <c r="C50"/>
      <c r="D50"/>
      <c r="E50"/>
      <c r="F50" s="48"/>
      <c r="G50" s="220"/>
      <c r="H50"/>
      <c r="I50"/>
      <c r="J50"/>
    </row>
    <row r="51" spans="2:21" s="52" customFormat="1" x14ac:dyDescent="0.25">
      <c r="B51"/>
      <c r="C51"/>
      <c r="D51"/>
      <c r="E51"/>
      <c r="F51" s="48"/>
      <c r="G51" s="220"/>
      <c r="H51"/>
      <c r="I51"/>
      <c r="J51"/>
    </row>
    <row r="52" spans="2:21" s="52" customFormat="1" x14ac:dyDescent="0.25">
      <c r="B52"/>
      <c r="C52"/>
      <c r="D52"/>
      <c r="E52"/>
      <c r="F52" s="48"/>
      <c r="G52" s="220"/>
      <c r="H52"/>
      <c r="I52"/>
      <c r="J52"/>
      <c r="L52"/>
      <c r="M52"/>
      <c r="N52"/>
      <c r="O52"/>
      <c r="P52"/>
      <c r="Q52"/>
      <c r="R52"/>
      <c r="S52"/>
    </row>
    <row r="53" spans="2:21" ht="15" customHeight="1" x14ac:dyDescent="0.25">
      <c r="L53"/>
      <c r="M53"/>
      <c r="N53"/>
      <c r="O53"/>
      <c r="P53"/>
      <c r="Q53"/>
      <c r="R53"/>
      <c r="S53"/>
      <c r="T53"/>
      <c r="U53"/>
    </row>
    <row r="54" spans="2:21" ht="15" customHeight="1" x14ac:dyDescent="0.25">
      <c r="T54"/>
      <c r="U54"/>
    </row>
    <row r="55" spans="2:21" s="100" customFormat="1" ht="15" customHeight="1" x14ac:dyDescent="0.25">
      <c r="B55"/>
      <c r="C55"/>
      <c r="D55"/>
      <c r="E55"/>
      <c r="F55" s="48"/>
      <c r="G55" s="220"/>
      <c r="H55"/>
      <c r="I55"/>
      <c r="J55"/>
      <c r="K55" s="52"/>
    </row>
    <row r="56" spans="2:21" s="100" customFormat="1" ht="15" customHeight="1" x14ac:dyDescent="0.25">
      <c r="B56"/>
      <c r="C56"/>
      <c r="D56"/>
      <c r="E56"/>
      <c r="F56" s="48"/>
      <c r="G56" s="220"/>
      <c r="H56"/>
      <c r="I56"/>
      <c r="J56"/>
      <c r="K56" s="52"/>
    </row>
    <row r="57" spans="2:21" s="100" customFormat="1" ht="15" customHeight="1" x14ac:dyDescent="0.25">
      <c r="B57"/>
      <c r="C57"/>
      <c r="D57"/>
      <c r="E57"/>
      <c r="F57" s="48"/>
      <c r="G57" s="220"/>
      <c r="H57"/>
      <c r="I57"/>
      <c r="J57"/>
      <c r="K57" s="52"/>
    </row>
    <row r="58" spans="2:21" s="100" customFormat="1" ht="15" customHeight="1" x14ac:dyDescent="0.25">
      <c r="B58"/>
      <c r="C58"/>
      <c r="D58"/>
      <c r="E58"/>
      <c r="F58" s="48"/>
      <c r="G58" s="220"/>
      <c r="H58"/>
      <c r="I58"/>
      <c r="J58"/>
      <c r="K58" s="52"/>
    </row>
    <row r="59" spans="2:21" s="100" customFormat="1" ht="15" customHeight="1" x14ac:dyDescent="0.25">
      <c r="B59"/>
      <c r="C59"/>
      <c r="D59"/>
      <c r="E59"/>
      <c r="F59" s="48"/>
      <c r="G59" s="220"/>
      <c r="H59"/>
      <c r="I59"/>
      <c r="J59"/>
      <c r="K59" s="52"/>
    </row>
    <row r="60" spans="2:21" s="100" customFormat="1" ht="15" customHeight="1" x14ac:dyDescent="0.25">
      <c r="B60"/>
      <c r="C60"/>
      <c r="D60"/>
      <c r="E60"/>
      <c r="F60" s="48"/>
      <c r="G60" s="220"/>
      <c r="H60"/>
      <c r="I60"/>
      <c r="J60"/>
      <c r="K60" s="52"/>
    </row>
    <row r="61" spans="2:21" s="100" customFormat="1" ht="15" customHeight="1" x14ac:dyDescent="0.25">
      <c r="B61"/>
      <c r="C61"/>
      <c r="D61"/>
      <c r="E61"/>
      <c r="F61" s="48"/>
      <c r="G61" s="220"/>
      <c r="H61"/>
      <c r="I61"/>
      <c r="J61"/>
      <c r="K61" s="52"/>
    </row>
    <row r="62" spans="2:21" s="100" customFormat="1" ht="15" customHeight="1" x14ac:dyDescent="0.25">
      <c r="B62"/>
      <c r="C62"/>
      <c r="D62"/>
      <c r="E62"/>
      <c r="F62" s="48"/>
      <c r="G62" s="220"/>
      <c r="H62"/>
      <c r="I62"/>
      <c r="J62"/>
      <c r="K62" s="52"/>
    </row>
    <row r="63" spans="2:21" s="100" customFormat="1" ht="15" customHeight="1" x14ac:dyDescent="0.25">
      <c r="B63"/>
      <c r="C63"/>
      <c r="D63"/>
      <c r="E63"/>
      <c r="F63" s="48"/>
      <c r="G63" s="220"/>
      <c r="H63"/>
      <c r="I63"/>
      <c r="J63"/>
      <c r="K63" s="52"/>
    </row>
    <row r="64" spans="2:21" s="100" customFormat="1" ht="15" customHeight="1" x14ac:dyDescent="0.25">
      <c r="B64"/>
      <c r="C64"/>
      <c r="D64"/>
      <c r="E64"/>
      <c r="F64" s="48"/>
      <c r="G64" s="220"/>
      <c r="H64"/>
      <c r="I64"/>
      <c r="J64"/>
      <c r="K64" s="52"/>
      <c r="L64" s="52"/>
      <c r="M64" s="52"/>
      <c r="N64" s="52"/>
      <c r="O64" s="52"/>
      <c r="P64" s="52"/>
      <c r="Q64" s="52"/>
      <c r="R64" s="52"/>
      <c r="S64" s="52"/>
    </row>
    <row r="65" spans="1:10" s="52" customFormat="1" ht="15" customHeight="1" x14ac:dyDescent="0.25">
      <c r="B65"/>
      <c r="C65"/>
      <c r="D65"/>
      <c r="E65"/>
      <c r="F65" s="48"/>
      <c r="G65" s="220"/>
      <c r="H65"/>
      <c r="I65"/>
      <c r="J65"/>
    </row>
    <row r="66" spans="1:10" s="52" customFormat="1" ht="15" customHeight="1" x14ac:dyDescent="0.25">
      <c r="B66"/>
      <c r="C66"/>
      <c r="D66"/>
      <c r="E66"/>
      <c r="F66" s="48"/>
      <c r="G66" s="220"/>
      <c r="H66"/>
      <c r="I66"/>
      <c r="J66"/>
    </row>
    <row r="67" spans="1:10" s="52" customFormat="1" ht="15" customHeight="1" x14ac:dyDescent="0.25">
      <c r="B67"/>
      <c r="C67"/>
      <c r="D67"/>
      <c r="E67"/>
      <c r="F67" s="48"/>
      <c r="G67" s="220"/>
      <c r="H67"/>
      <c r="I67"/>
      <c r="J67"/>
    </row>
    <row r="68" spans="1:10" s="52" customFormat="1" ht="15" customHeight="1" x14ac:dyDescent="0.25">
      <c r="B68"/>
      <c r="C68"/>
      <c r="D68"/>
      <c r="E68"/>
      <c r="F68" s="48"/>
      <c r="G68" s="220"/>
      <c r="H68"/>
      <c r="I68"/>
      <c r="J68"/>
    </row>
    <row r="69" spans="1:10" s="52" customFormat="1" ht="15" customHeight="1" x14ac:dyDescent="0.25">
      <c r="B69"/>
      <c r="C69"/>
      <c r="D69"/>
      <c r="E69"/>
      <c r="F69" s="48"/>
      <c r="G69" s="220"/>
      <c r="H69"/>
      <c r="I69"/>
      <c r="J69"/>
    </row>
    <row r="70" spans="1:10" s="52" customFormat="1" ht="15" customHeight="1" x14ac:dyDescent="0.25">
      <c r="B70"/>
      <c r="C70"/>
      <c r="D70"/>
      <c r="E70"/>
      <c r="F70" s="48"/>
      <c r="G70" s="220"/>
      <c r="H70"/>
      <c r="I70"/>
      <c r="J70"/>
    </row>
    <row r="71" spans="1:10" s="52" customFormat="1" ht="15" customHeight="1" x14ac:dyDescent="0.25">
      <c r="B71"/>
      <c r="C71"/>
      <c r="D71"/>
      <c r="E71"/>
      <c r="F71" s="48"/>
      <c r="G71" s="220"/>
      <c r="H71"/>
      <c r="I71"/>
      <c r="J71"/>
    </row>
    <row r="72" spans="1:10" s="52" customFormat="1" ht="15" customHeight="1" x14ac:dyDescent="0.25">
      <c r="B72"/>
      <c r="C72"/>
      <c r="D72"/>
      <c r="E72"/>
      <c r="F72" s="48"/>
      <c r="G72" s="220"/>
      <c r="H72"/>
      <c r="I72"/>
      <c r="J72"/>
    </row>
    <row r="73" spans="1:10" s="52" customFormat="1" ht="15" customHeight="1" x14ac:dyDescent="0.25">
      <c r="B73"/>
      <c r="C73"/>
      <c r="D73"/>
      <c r="E73"/>
      <c r="F73" s="48"/>
      <c r="G73" s="220"/>
      <c r="H73"/>
      <c r="I73"/>
      <c r="J73"/>
    </row>
    <row r="74" spans="1:10" s="52" customFormat="1" ht="15" customHeight="1" x14ac:dyDescent="0.25">
      <c r="A74" s="6"/>
      <c r="B74"/>
      <c r="C74"/>
      <c r="D74"/>
      <c r="E74"/>
      <c r="F74" s="48"/>
      <c r="G74" s="152"/>
      <c r="H74"/>
      <c r="I74"/>
      <c r="J74"/>
    </row>
    <row r="75" spans="1:10" s="52" customFormat="1" x14ac:dyDescent="0.25">
      <c r="B75"/>
      <c r="C75"/>
      <c r="D75"/>
      <c r="E75"/>
      <c r="F75" s="48"/>
      <c r="G75" s="220"/>
      <c r="H75"/>
      <c r="I75"/>
      <c r="J75"/>
    </row>
    <row r="76" spans="1:10" s="52" customFormat="1" x14ac:dyDescent="0.25">
      <c r="B76"/>
      <c r="C76"/>
      <c r="D76"/>
      <c r="E76"/>
      <c r="F76" s="48"/>
      <c r="G76" s="220"/>
      <c r="H76"/>
      <c r="I76"/>
      <c r="J76"/>
    </row>
    <row r="77" spans="1:10" s="52" customFormat="1" x14ac:dyDescent="0.25">
      <c r="B77"/>
      <c r="C77"/>
      <c r="D77"/>
      <c r="E77"/>
      <c r="F77" s="48"/>
      <c r="G77" s="220"/>
      <c r="H77"/>
      <c r="I77"/>
      <c r="J77"/>
    </row>
    <row r="78" spans="1:10" s="52" customFormat="1" x14ac:dyDescent="0.25">
      <c r="B78"/>
      <c r="C78"/>
      <c r="D78"/>
      <c r="E78"/>
      <c r="F78" s="48"/>
      <c r="G78" s="220"/>
      <c r="H78"/>
      <c r="I78"/>
      <c r="J78"/>
    </row>
    <row r="79" spans="1:10" s="52" customFormat="1" x14ac:dyDescent="0.25">
      <c r="B79"/>
      <c r="C79"/>
      <c r="D79"/>
      <c r="E79"/>
      <c r="F79" s="48"/>
      <c r="G79" s="220"/>
      <c r="H79"/>
      <c r="I79"/>
      <c r="J79"/>
    </row>
    <row r="80" spans="1:10" s="52" customFormat="1" ht="15" customHeight="1" x14ac:dyDescent="0.25">
      <c r="A80" s="6"/>
      <c r="B80"/>
      <c r="C80"/>
      <c r="D80"/>
      <c r="E80"/>
      <c r="F80" s="48"/>
      <c r="G80" s="152"/>
      <c r="H80"/>
      <c r="I80"/>
      <c r="J80"/>
    </row>
    <row r="81" spans="2:21" s="52" customFormat="1" x14ac:dyDescent="0.25">
      <c r="B81"/>
      <c r="C81"/>
      <c r="D81"/>
      <c r="E81"/>
      <c r="F81" s="48"/>
      <c r="G81" s="220"/>
      <c r="H81"/>
      <c r="I81"/>
      <c r="J81"/>
    </row>
    <row r="82" spans="2:21" s="52" customFormat="1" x14ac:dyDescent="0.25">
      <c r="B82"/>
      <c r="C82"/>
      <c r="D82"/>
      <c r="E82"/>
      <c r="F82" s="48"/>
      <c r="G82" s="220"/>
      <c r="H82"/>
      <c r="I82"/>
      <c r="J82"/>
    </row>
    <row r="83" spans="2:21" s="52" customFormat="1" x14ac:dyDescent="0.25">
      <c r="B83"/>
      <c r="C83"/>
      <c r="D83"/>
      <c r="E83"/>
      <c r="F83" s="48"/>
      <c r="G83" s="220"/>
      <c r="H83"/>
      <c r="I83"/>
      <c r="J83"/>
    </row>
    <row r="84" spans="2:21" s="52" customFormat="1" x14ac:dyDescent="0.25">
      <c r="B84"/>
      <c r="C84"/>
      <c r="D84"/>
      <c r="E84"/>
      <c r="F84" s="48"/>
      <c r="G84" s="220"/>
      <c r="H84"/>
      <c r="I84"/>
      <c r="J84"/>
    </row>
    <row r="85" spans="2:21" s="52" customFormat="1" x14ac:dyDescent="0.25">
      <c r="B85"/>
      <c r="C85"/>
      <c r="D85"/>
      <c r="E85"/>
      <c r="F85" s="48"/>
      <c r="G85" s="220"/>
      <c r="H85"/>
      <c r="I85"/>
      <c r="J85"/>
    </row>
    <row r="86" spans="2:21" s="52" customFormat="1" x14ac:dyDescent="0.25">
      <c r="B86"/>
      <c r="C86"/>
      <c r="D86"/>
      <c r="E86"/>
      <c r="F86" s="48"/>
      <c r="G86" s="220"/>
      <c r="H86"/>
      <c r="I86"/>
      <c r="J86"/>
    </row>
    <row r="87" spans="2:21" s="52" customFormat="1" x14ac:dyDescent="0.25">
      <c r="B87"/>
      <c r="C87"/>
      <c r="D87"/>
      <c r="E87"/>
      <c r="F87" s="48"/>
      <c r="G87" s="220"/>
      <c r="H87"/>
      <c r="I87"/>
      <c r="J87"/>
    </row>
    <row r="88" spans="2:21" s="52" customFormat="1" x14ac:dyDescent="0.25">
      <c r="B88"/>
      <c r="C88"/>
      <c r="D88"/>
      <c r="E88"/>
      <c r="F88" s="48"/>
      <c r="G88" s="220"/>
      <c r="H88"/>
      <c r="I88"/>
      <c r="J88"/>
    </row>
    <row r="89" spans="2:21" s="52" customFormat="1" x14ac:dyDescent="0.25">
      <c r="B89"/>
      <c r="C89"/>
      <c r="D89"/>
      <c r="E89"/>
      <c r="F89" s="48"/>
      <c r="G89" s="220"/>
      <c r="H89"/>
      <c r="I89"/>
      <c r="J89"/>
      <c r="L89"/>
      <c r="M89"/>
      <c r="N89"/>
      <c r="O89"/>
      <c r="P89"/>
      <c r="Q89"/>
      <c r="R89"/>
      <c r="S89"/>
    </row>
    <row r="90" spans="2:21" x14ac:dyDescent="0.25">
      <c r="L90"/>
      <c r="M90"/>
      <c r="N90"/>
      <c r="O90"/>
      <c r="P90"/>
      <c r="Q90"/>
      <c r="R90"/>
      <c r="S90"/>
      <c r="T90"/>
      <c r="U90"/>
    </row>
    <row r="91" spans="2:21" x14ac:dyDescent="0.25">
      <c r="L91"/>
      <c r="M91"/>
      <c r="N91"/>
      <c r="O91"/>
      <c r="P91"/>
      <c r="Q91"/>
      <c r="R91"/>
      <c r="S91"/>
      <c r="T91"/>
      <c r="U91"/>
    </row>
    <row r="92" spans="2:21" x14ac:dyDescent="0.25">
      <c r="L92"/>
      <c r="M92"/>
      <c r="N92"/>
      <c r="O92"/>
      <c r="P92"/>
      <c r="Q92"/>
      <c r="R92"/>
      <c r="S92"/>
      <c r="T92"/>
      <c r="U92"/>
    </row>
    <row r="93" spans="2:21" x14ac:dyDescent="0.25">
      <c r="L93"/>
      <c r="M93"/>
      <c r="N93"/>
      <c r="O93"/>
      <c r="P93"/>
      <c r="Q93"/>
      <c r="R93"/>
      <c r="S93"/>
      <c r="T93"/>
      <c r="U93"/>
    </row>
    <row r="94" spans="2:21" x14ac:dyDescent="0.25">
      <c r="L94"/>
      <c r="M94"/>
      <c r="N94"/>
      <c r="O94"/>
      <c r="P94"/>
      <c r="Q94"/>
      <c r="R94"/>
      <c r="S94"/>
      <c r="T94"/>
      <c r="U94"/>
    </row>
    <row r="95" spans="2:21" x14ac:dyDescent="0.25">
      <c r="L95"/>
      <c r="M95"/>
      <c r="N95"/>
      <c r="O95"/>
      <c r="P95"/>
      <c r="Q95"/>
      <c r="R95"/>
      <c r="S95"/>
      <c r="T95"/>
      <c r="U95"/>
    </row>
    <row r="96" spans="2:21" x14ac:dyDescent="0.25">
      <c r="L96"/>
      <c r="M96"/>
      <c r="N96"/>
      <c r="O96"/>
      <c r="P96"/>
      <c r="Q96"/>
      <c r="R96"/>
      <c r="S96"/>
      <c r="T96"/>
      <c r="U96"/>
    </row>
    <row r="97" spans="12:21" x14ac:dyDescent="0.25">
      <c r="L97"/>
      <c r="M97"/>
      <c r="N97"/>
      <c r="O97"/>
      <c r="P97"/>
      <c r="Q97"/>
      <c r="R97"/>
      <c r="S97"/>
      <c r="T97"/>
      <c r="U97"/>
    </row>
    <row r="98" spans="12:21" x14ac:dyDescent="0.25">
      <c r="L98"/>
      <c r="M98"/>
      <c r="N98"/>
      <c r="O98"/>
      <c r="P98"/>
      <c r="Q98"/>
      <c r="R98"/>
      <c r="S98"/>
      <c r="T98"/>
      <c r="U98"/>
    </row>
    <row r="99" spans="12:21" x14ac:dyDescent="0.25">
      <c r="L99"/>
      <c r="M99"/>
      <c r="N99"/>
      <c r="O99"/>
      <c r="P99"/>
      <c r="Q99"/>
      <c r="R99"/>
      <c r="S99"/>
      <c r="T99"/>
      <c r="U99"/>
    </row>
    <row r="100" spans="12:21" x14ac:dyDescent="0.25">
      <c r="L100"/>
      <c r="M100"/>
      <c r="N100"/>
      <c r="O100"/>
      <c r="P100"/>
      <c r="Q100"/>
      <c r="R100"/>
      <c r="S100"/>
      <c r="T100"/>
      <c r="U100"/>
    </row>
    <row r="101" spans="12:21" x14ac:dyDescent="0.25">
      <c r="L101"/>
      <c r="M101"/>
      <c r="N101"/>
      <c r="O101"/>
      <c r="P101"/>
      <c r="Q101"/>
      <c r="R101"/>
      <c r="S101"/>
      <c r="T101"/>
      <c r="U101"/>
    </row>
    <row r="102" spans="12:21" x14ac:dyDescent="0.25">
      <c r="L102"/>
      <c r="M102"/>
      <c r="N102"/>
      <c r="O102"/>
      <c r="P102"/>
      <c r="Q102"/>
      <c r="R102"/>
      <c r="S102"/>
      <c r="T102"/>
      <c r="U102"/>
    </row>
    <row r="103" spans="12:21" x14ac:dyDescent="0.25">
      <c r="L103"/>
      <c r="M103"/>
      <c r="N103"/>
      <c r="O103"/>
      <c r="P103"/>
      <c r="Q103"/>
      <c r="R103"/>
      <c r="S103"/>
      <c r="T103"/>
      <c r="U103"/>
    </row>
    <row r="104" spans="12:21" x14ac:dyDescent="0.25">
      <c r="L104"/>
      <c r="M104"/>
      <c r="N104"/>
      <c r="O104"/>
      <c r="P104"/>
      <c r="Q104"/>
      <c r="R104"/>
      <c r="S104"/>
      <c r="T104"/>
      <c r="U104"/>
    </row>
    <row r="105" spans="12:21" x14ac:dyDescent="0.25">
      <c r="T105"/>
      <c r="U105"/>
    </row>
  </sheetData>
  <mergeCells count="1">
    <mergeCell ref="B2:F3"/>
  </mergeCells>
  <pageMargins left="0.25" right="0.25" top="0.75" bottom="0.75" header="0.3" footer="0.3"/>
  <pageSetup paperSize="119" scale="6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A38A6-C2CD-421B-87C5-E86CEE090C89}">
  <sheetPr>
    <tabColor rgb="FF00B050"/>
    <pageSetUpPr fitToPage="1"/>
  </sheetPr>
  <dimension ref="A1:U63"/>
  <sheetViews>
    <sheetView view="pageBreakPreview" zoomScale="85" zoomScaleNormal="85" zoomScaleSheetLayoutView="85" workbookViewId="0">
      <selection activeCell="F40" sqref="F40"/>
    </sheetView>
  </sheetViews>
  <sheetFormatPr defaultRowHeight="15" x14ac:dyDescent="0.25"/>
  <cols>
    <col min="1" max="1" width="9.140625" style="211"/>
    <col min="2" max="3" width="15.7109375" style="211" customWidth="1"/>
    <col min="4" max="5" width="18.5703125" style="211" customWidth="1"/>
    <col min="6" max="6" width="27.140625" style="211" bestFit="1" customWidth="1"/>
    <col min="7" max="7" width="15.7109375" style="211" customWidth="1"/>
    <col min="8" max="12" width="15.42578125" style="211" customWidth="1"/>
    <col min="13" max="13" width="21.85546875" style="211" customWidth="1"/>
    <col min="14" max="14" width="15.7109375" style="211" customWidth="1"/>
    <col min="15" max="15" width="12.28515625" style="220" customWidth="1"/>
    <col min="16" max="16" width="19.140625" style="220" customWidth="1"/>
    <col min="17" max="17" width="13.85546875" style="220" customWidth="1"/>
    <col min="18" max="21" width="13.140625" style="220" customWidth="1"/>
    <col min="22" max="16384" width="9.140625" style="211"/>
  </cols>
  <sheetData>
    <row r="1" spans="2:12" ht="15.75" thickBot="1" x14ac:dyDescent="0.3">
      <c r="B1" s="151" t="s">
        <v>199</v>
      </c>
      <c r="C1" s="151"/>
      <c r="D1" s="151"/>
      <c r="E1" s="151"/>
    </row>
    <row r="2" spans="2:12" ht="15.75" thickBot="1" x14ac:dyDescent="0.3">
      <c r="C2" s="410" t="s">
        <v>200</v>
      </c>
      <c r="D2" s="411"/>
      <c r="E2" s="412"/>
      <c r="F2" s="337" t="s">
        <v>201</v>
      </c>
    </row>
    <row r="3" spans="2:12" ht="35.1" customHeight="1" x14ac:dyDescent="0.25">
      <c r="B3" s="413" t="s">
        <v>0</v>
      </c>
      <c r="C3" s="372" t="s">
        <v>203</v>
      </c>
      <c r="D3" s="376" t="s">
        <v>204</v>
      </c>
      <c r="E3" s="417" t="s">
        <v>205</v>
      </c>
      <c r="F3" s="372" t="s">
        <v>254</v>
      </c>
      <c r="H3" s="229"/>
    </row>
    <row r="4" spans="2:12" ht="35.1" customHeight="1" thickBot="1" x14ac:dyDescent="0.3">
      <c r="B4" s="414"/>
      <c r="C4" s="415"/>
      <c r="D4" s="416"/>
      <c r="E4" s="418"/>
      <c r="F4" s="415"/>
    </row>
    <row r="5" spans="2:12" x14ac:dyDescent="0.25">
      <c r="B5" s="1">
        <f>'H_Campbell Watermain_Costs'!I10</f>
        <v>2023</v>
      </c>
      <c r="C5" s="230">
        <f t="shared" ref="C5:C24" si="0">($F5*$L$7/(1*10^6))</f>
        <v>14.792960000000003</v>
      </c>
      <c r="D5" s="231">
        <f t="shared" ref="D5:D24" si="1">C5*_xlfn.XLOOKUP($B5,$H$13:$H$48,$L$13:$L$48)</f>
        <v>798.81984000000011</v>
      </c>
      <c r="E5" s="232">
        <f>D5*(1+0.03)^-($B5-'Global Assumptions'!$C$6)</f>
        <v>709.74108145808316</v>
      </c>
      <c r="F5" s="233">
        <f>'H_Campbell Watermain_Benefits'!$J$9*'H_Campbell Watermain_Benefits'!$J$10</f>
        <v>2080</v>
      </c>
      <c r="H5" s="243" t="s">
        <v>253</v>
      </c>
      <c r="I5" s="243"/>
      <c r="J5" s="243"/>
      <c r="K5" s="243"/>
      <c r="L5" s="243"/>
    </row>
    <row r="6" spans="2:12" x14ac:dyDescent="0.25">
      <c r="B6" s="2">
        <f>B5+1</f>
        <v>2024</v>
      </c>
      <c r="C6" s="244">
        <f t="shared" si="0"/>
        <v>14.792960000000003</v>
      </c>
      <c r="D6" s="241">
        <f t="shared" si="1"/>
        <v>813.61280000000011</v>
      </c>
      <c r="E6" s="242">
        <f>D6*(1+0.03)^-($B6-'Global Assumptions'!$C$6)</f>
        <v>701.82954836739611</v>
      </c>
      <c r="F6" s="245">
        <f>'H_Campbell Watermain_Benefits'!$J$9*'H_Campbell Watermain_Benefits'!$J$10</f>
        <v>2080</v>
      </c>
      <c r="H6" s="254" t="s">
        <v>217</v>
      </c>
      <c r="I6" s="228" t="s">
        <v>218</v>
      </c>
      <c r="J6" s="228" t="s">
        <v>219</v>
      </c>
      <c r="K6" s="228" t="s">
        <v>220</v>
      </c>
      <c r="L6" s="228" t="s">
        <v>221</v>
      </c>
    </row>
    <row r="7" spans="2:12" x14ac:dyDescent="0.25">
      <c r="B7" s="2">
        <f t="shared" ref="B7:B24" si="2">B6+1</f>
        <v>2025</v>
      </c>
      <c r="C7" s="244">
        <f t="shared" si="0"/>
        <v>14.792960000000003</v>
      </c>
      <c r="D7" s="241">
        <f t="shared" si="1"/>
        <v>828.4057600000001</v>
      </c>
      <c r="E7" s="242">
        <f>D7*(1+0.03)^-($B7-'Global Assumptions'!$C$6)</f>
        <v>693.77678214605794</v>
      </c>
      <c r="F7" s="245">
        <f>'H_Campbell Watermain_Benefits'!$J$9*'H_Campbell Watermain_Benefits'!$J$10</f>
        <v>2080</v>
      </c>
      <c r="H7" s="254" t="s">
        <v>228</v>
      </c>
      <c r="I7" s="255">
        <v>3.7050000000000001</v>
      </c>
      <c r="J7" s="296">
        <v>0</v>
      </c>
      <c r="K7" s="296">
        <v>0</v>
      </c>
      <c r="L7" s="255">
        <f>0.8*8.89*1000</f>
        <v>7112.0000000000009</v>
      </c>
    </row>
    <row r="8" spans="2:12" x14ac:dyDescent="0.25">
      <c r="B8" s="2">
        <f t="shared" si="2"/>
        <v>2026</v>
      </c>
      <c r="C8" s="244">
        <f t="shared" si="0"/>
        <v>14.792960000000003</v>
      </c>
      <c r="D8" s="241">
        <f t="shared" si="1"/>
        <v>843.19872000000009</v>
      </c>
      <c r="E8" s="242">
        <f>D8*(1+0.03)^-($B8-'Global Assumptions'!$C$6)</f>
        <v>685.59772160758143</v>
      </c>
      <c r="F8" s="245">
        <f>'H_Campbell Watermain_Benefits'!$J$9*'H_Campbell Watermain_Benefits'!$J$10</f>
        <v>2080</v>
      </c>
      <c r="H8" s="295"/>
      <c r="I8" s="295"/>
      <c r="J8" s="436" t="s">
        <v>255</v>
      </c>
      <c r="K8" s="436"/>
      <c r="L8" s="295"/>
    </row>
    <row r="9" spans="2:12" ht="15" customHeight="1" x14ac:dyDescent="0.25">
      <c r="B9" s="2">
        <f t="shared" si="2"/>
        <v>2027</v>
      </c>
      <c r="C9" s="244">
        <f t="shared" si="0"/>
        <v>14.792960000000003</v>
      </c>
      <c r="D9" s="241">
        <f t="shared" si="1"/>
        <v>857.9916800000002</v>
      </c>
      <c r="E9" s="242">
        <f>D9*(1+0.03)^-($B9-'Global Assumptions'!$C$6)</f>
        <v>677.30655515652757</v>
      </c>
      <c r="F9" s="245">
        <f>'H_Campbell Watermain_Benefits'!$J$9*'H_Campbell Watermain_Benefits'!$J$10</f>
        <v>2080</v>
      </c>
      <c r="H9" s="151"/>
      <c r="I9" s="257"/>
      <c r="J9" s="258"/>
      <c r="K9" s="257"/>
      <c r="L9" s="259"/>
    </row>
    <row r="10" spans="2:12" x14ac:dyDescent="0.25">
      <c r="B10" s="2">
        <f t="shared" si="2"/>
        <v>2028</v>
      </c>
      <c r="C10" s="244">
        <f t="shared" si="0"/>
        <v>14.792960000000003</v>
      </c>
      <c r="D10" s="241">
        <f t="shared" si="1"/>
        <v>872.78464000000019</v>
      </c>
      <c r="E10" s="242">
        <f>D10*(1+0.03)^-($B10-'Global Assumptions'!$C$6)</f>
        <v>668.91675182850895</v>
      </c>
      <c r="F10" s="245">
        <f>'H_Campbell Watermain_Benefits'!$J$9*'H_Campbell Watermain_Benefits'!$J$10</f>
        <v>2080</v>
      </c>
      <c r="H10" s="295"/>
      <c r="I10" s="158"/>
      <c r="J10" s="158"/>
      <c r="K10" s="158"/>
      <c r="L10" s="158"/>
    </row>
    <row r="11" spans="2:12" ht="17.25" x14ac:dyDescent="0.25">
      <c r="B11" s="2">
        <f t="shared" si="2"/>
        <v>2029</v>
      </c>
      <c r="C11" s="244">
        <f t="shared" si="0"/>
        <v>14.792960000000003</v>
      </c>
      <c r="D11" s="241">
        <f t="shared" si="1"/>
        <v>887.57760000000019</v>
      </c>
      <c r="E11" s="242">
        <f>D11*(1+0.03)^-($B11-'Global Assumptions'!$C$6)</f>
        <v>660.44109115863967</v>
      </c>
      <c r="F11" s="245">
        <f>'H_Campbell Watermain_Benefits'!$J$9*'H_Campbell Watermain_Benefits'!$J$10</f>
        <v>2080</v>
      </c>
      <c r="H11" s="151" t="s">
        <v>230</v>
      </c>
    </row>
    <row r="12" spans="2:12" x14ac:dyDescent="0.25">
      <c r="B12" s="2">
        <f t="shared" si="2"/>
        <v>2030</v>
      </c>
      <c r="C12" s="244">
        <f t="shared" si="0"/>
        <v>14.792960000000003</v>
      </c>
      <c r="D12" s="241">
        <f t="shared" si="1"/>
        <v>902.37056000000018</v>
      </c>
      <c r="E12" s="242">
        <f>D12*(1+0.03)^-($B12-'Global Assumptions'!$C$6)</f>
        <v>651.89169192034024</v>
      </c>
      <c r="F12" s="245">
        <f>'H_Campbell Watermain_Benefits'!$J$9*'H_Campbell Watermain_Benefits'!$J$10</f>
        <v>2080</v>
      </c>
      <c r="H12" s="260" t="s">
        <v>46</v>
      </c>
      <c r="I12" s="139" t="s">
        <v>218</v>
      </c>
      <c r="J12" s="139" t="s">
        <v>219</v>
      </c>
      <c r="K12" s="139" t="s">
        <v>220</v>
      </c>
      <c r="L12" s="139" t="s">
        <v>221</v>
      </c>
    </row>
    <row r="13" spans="2:12" ht="15" customHeight="1" x14ac:dyDescent="0.25">
      <c r="B13" s="2">
        <f t="shared" si="2"/>
        <v>2031</v>
      </c>
      <c r="C13" s="244">
        <f t="shared" si="0"/>
        <v>14.792960000000003</v>
      </c>
      <c r="D13" s="241">
        <f t="shared" si="1"/>
        <v>917.16352000000018</v>
      </c>
      <c r="E13" s="242">
        <f>D13*(1+0.03)^-($B13-'Global Assumptions'!$C$6)</f>
        <v>643.28003977496576</v>
      </c>
      <c r="F13" s="245">
        <f>'H_Campbell Watermain_Benefits'!$J$9*'H_Campbell Watermain_Benefits'!$J$10</f>
        <v>2080</v>
      </c>
      <c r="H13" s="261">
        <v>2020</v>
      </c>
      <c r="I13" s="262">
        <v>15700</v>
      </c>
      <c r="J13" s="262">
        <v>40400</v>
      </c>
      <c r="K13" s="262">
        <v>729300</v>
      </c>
      <c r="L13" s="262">
        <v>50</v>
      </c>
    </row>
    <row r="14" spans="2:12" x14ac:dyDescent="0.25">
      <c r="B14" s="2">
        <f t="shared" si="2"/>
        <v>2032</v>
      </c>
      <c r="C14" s="244">
        <f t="shared" si="0"/>
        <v>14.792960000000003</v>
      </c>
      <c r="D14" s="241">
        <f t="shared" si="1"/>
        <v>931.95648000000017</v>
      </c>
      <c r="E14" s="242">
        <f>D14*(1+0.03)^-($B14-'Global Assumptions'!$C$6)</f>
        <v>634.61701387132541</v>
      </c>
      <c r="F14" s="245">
        <f>'H_Campbell Watermain_Benefits'!$J$9*'H_Campbell Watermain_Benefits'!$J$10</f>
        <v>2080</v>
      </c>
      <c r="H14" s="261">
        <v>2021</v>
      </c>
      <c r="I14" s="262">
        <v>15900</v>
      </c>
      <c r="J14" s="262">
        <v>41300</v>
      </c>
      <c r="K14" s="262">
        <v>742300</v>
      </c>
      <c r="L14" s="262">
        <v>52</v>
      </c>
    </row>
    <row r="15" spans="2:12" x14ac:dyDescent="0.25">
      <c r="B15" s="2">
        <f t="shared" si="2"/>
        <v>2033</v>
      </c>
      <c r="C15" s="244">
        <f t="shared" si="0"/>
        <v>14.792960000000003</v>
      </c>
      <c r="D15" s="241">
        <f t="shared" si="1"/>
        <v>946.74944000000016</v>
      </c>
      <c r="E15" s="242">
        <f>D15*(1+0.03)^-($B15-'Global Assumptions'!$C$6)</f>
        <v>625.91291243280659</v>
      </c>
      <c r="F15" s="245">
        <f>'H_Campbell Watermain_Benefits'!$J$9*'H_Campbell Watermain_Benefits'!$J$10</f>
        <v>2080</v>
      </c>
      <c r="H15" s="261">
        <v>2022</v>
      </c>
      <c r="I15" s="262">
        <v>16100</v>
      </c>
      <c r="J15" s="262">
        <v>42100</v>
      </c>
      <c r="K15" s="262">
        <v>755500</v>
      </c>
      <c r="L15" s="262">
        <v>53</v>
      </c>
    </row>
    <row r="16" spans="2:12" x14ac:dyDescent="0.25">
      <c r="B16" s="2">
        <f t="shared" si="2"/>
        <v>2034</v>
      </c>
      <c r="C16" s="244">
        <f t="shared" si="0"/>
        <v>14.792960000000003</v>
      </c>
      <c r="D16" s="241">
        <f t="shared" si="1"/>
        <v>976.33536000000015</v>
      </c>
      <c r="E16" s="242">
        <f>D16*(1+0.03)^-($B16-'Global Assumptions'!$C$6)</f>
        <v>626.67251548187551</v>
      </c>
      <c r="F16" s="245">
        <f>'H_Campbell Watermain_Benefits'!$J$9*'H_Campbell Watermain_Benefits'!$J$10</f>
        <v>2080</v>
      </c>
      <c r="H16" s="261">
        <v>2023</v>
      </c>
      <c r="I16" s="262">
        <v>16400</v>
      </c>
      <c r="J16" s="262">
        <v>43000</v>
      </c>
      <c r="K16" s="262">
        <v>769000</v>
      </c>
      <c r="L16" s="262">
        <v>54</v>
      </c>
    </row>
    <row r="17" spans="1:12" x14ac:dyDescent="0.25">
      <c r="B17" s="2">
        <f t="shared" si="2"/>
        <v>2035</v>
      </c>
      <c r="C17" s="244">
        <f t="shared" si="0"/>
        <v>14.792960000000003</v>
      </c>
      <c r="D17" s="241">
        <f t="shared" si="1"/>
        <v>991.12832000000014</v>
      </c>
      <c r="E17" s="242">
        <f>D17*(1+0.03)^-($B17-'Global Assumptions'!$C$6)</f>
        <v>617.63840154877414</v>
      </c>
      <c r="F17" s="245">
        <f>'H_Campbell Watermain_Benefits'!$J$9*'H_Campbell Watermain_Benefits'!$J$10</f>
        <v>2080</v>
      </c>
      <c r="H17" s="261">
        <v>2024</v>
      </c>
      <c r="I17" s="262">
        <v>16600</v>
      </c>
      <c r="J17" s="262">
        <v>43900</v>
      </c>
      <c r="K17" s="262">
        <v>782700</v>
      </c>
      <c r="L17" s="262">
        <v>55</v>
      </c>
    </row>
    <row r="18" spans="1:12" x14ac:dyDescent="0.25">
      <c r="B18" s="2">
        <f t="shared" si="2"/>
        <v>2036</v>
      </c>
      <c r="C18" s="244">
        <f t="shared" si="0"/>
        <v>14.792960000000003</v>
      </c>
      <c r="D18" s="241">
        <f t="shared" si="1"/>
        <v>1005.9212800000001</v>
      </c>
      <c r="E18" s="242">
        <f>D18*(1+0.03)^-($B18-'Global Assumptions'!$C$6)</f>
        <v>608.59891762522307</v>
      </c>
      <c r="F18" s="245">
        <f>'H_Campbell Watermain_Benefits'!$J$9*'H_Campbell Watermain_Benefits'!$J$10</f>
        <v>2080</v>
      </c>
      <c r="H18" s="261">
        <v>2025</v>
      </c>
      <c r="I18" s="262">
        <v>16800</v>
      </c>
      <c r="J18" s="262">
        <v>44900</v>
      </c>
      <c r="K18" s="262">
        <v>796600</v>
      </c>
      <c r="L18" s="262">
        <v>56</v>
      </c>
    </row>
    <row r="19" spans="1:12" x14ac:dyDescent="0.25">
      <c r="B19" s="2">
        <f t="shared" si="2"/>
        <v>2037</v>
      </c>
      <c r="C19" s="244">
        <f t="shared" si="0"/>
        <v>14.792960000000003</v>
      </c>
      <c r="D19" s="241">
        <f t="shared" si="1"/>
        <v>1020.7142400000001</v>
      </c>
      <c r="E19" s="242">
        <f>D19*(1+0.03)^-($B19-'Global Assumptions'!$C$6)</f>
        <v>599.56204049315227</v>
      </c>
      <c r="F19" s="245">
        <f>'H_Campbell Watermain_Benefits'!$J$9*'H_Campbell Watermain_Benefits'!$J$10</f>
        <v>2080</v>
      </c>
      <c r="H19" s="261">
        <v>2026</v>
      </c>
      <c r="I19" s="262">
        <v>17000</v>
      </c>
      <c r="J19" s="262">
        <v>45500</v>
      </c>
      <c r="K19" s="262">
        <v>807500</v>
      </c>
      <c r="L19" s="262">
        <v>57</v>
      </c>
    </row>
    <row r="20" spans="1:12" x14ac:dyDescent="0.25">
      <c r="B20" s="2">
        <f t="shared" si="2"/>
        <v>2038</v>
      </c>
      <c r="C20" s="244">
        <f t="shared" si="0"/>
        <v>14.792960000000003</v>
      </c>
      <c r="D20" s="241">
        <f t="shared" si="1"/>
        <v>1035.5072000000002</v>
      </c>
      <c r="E20" s="242">
        <f>D20*(1+0.03)^-($B20-'Global Assumptions'!$C$6)</f>
        <v>590.53528682314152</v>
      </c>
      <c r="F20" s="245">
        <f>'H_Campbell Watermain_Benefits'!$J$9*'H_Campbell Watermain_Benefits'!$J$10</f>
        <v>2080</v>
      </c>
      <c r="H20" s="261">
        <v>2027</v>
      </c>
      <c r="I20" s="262">
        <v>17300</v>
      </c>
      <c r="J20" s="262">
        <v>46200</v>
      </c>
      <c r="K20" s="262">
        <v>818600</v>
      </c>
      <c r="L20" s="262">
        <v>58</v>
      </c>
    </row>
    <row r="21" spans="1:12" x14ac:dyDescent="0.25">
      <c r="B21" s="2">
        <f t="shared" si="2"/>
        <v>2039</v>
      </c>
      <c r="C21" s="244">
        <f t="shared" si="0"/>
        <v>14.792960000000003</v>
      </c>
      <c r="D21" s="241">
        <f t="shared" si="1"/>
        <v>1050.3001600000002</v>
      </c>
      <c r="E21" s="242">
        <f>D21*(1+0.03)^-($B21-'Global Assumptions'!$C$6)</f>
        <v>581.52573321002842</v>
      </c>
      <c r="F21" s="245">
        <f>'H_Campbell Watermain_Benefits'!$J$9*'H_Campbell Watermain_Benefits'!$J$10</f>
        <v>2080</v>
      </c>
      <c r="H21" s="261">
        <v>2028</v>
      </c>
      <c r="I21" s="262">
        <v>17500</v>
      </c>
      <c r="J21" s="262">
        <v>46900</v>
      </c>
      <c r="K21" s="262">
        <v>829800</v>
      </c>
      <c r="L21" s="262">
        <v>59</v>
      </c>
    </row>
    <row r="22" spans="1:12" x14ac:dyDescent="0.25">
      <c r="B22" s="2">
        <f t="shared" si="2"/>
        <v>2040</v>
      </c>
      <c r="C22" s="244">
        <f t="shared" si="0"/>
        <v>14.792960000000003</v>
      </c>
      <c r="D22" s="241">
        <f t="shared" si="1"/>
        <v>1065.0931200000002</v>
      </c>
      <c r="E22" s="242">
        <f>D22*(1+0.03)^-($B22-'Global Assumptions'!$C$6)</f>
        <v>572.54003543172496</v>
      </c>
      <c r="F22" s="245">
        <f>'H_Campbell Watermain_Benefits'!$J$9*'H_Campbell Watermain_Benefits'!$J$10</f>
        <v>2080</v>
      </c>
      <c r="H22" s="261">
        <v>2029</v>
      </c>
      <c r="I22" s="262">
        <v>17700</v>
      </c>
      <c r="J22" s="262">
        <v>47600</v>
      </c>
      <c r="K22" s="262">
        <v>841200</v>
      </c>
      <c r="L22" s="262">
        <v>60</v>
      </c>
    </row>
    <row r="23" spans="1:12" x14ac:dyDescent="0.25">
      <c r="B23" s="2">
        <f t="shared" si="2"/>
        <v>2041</v>
      </c>
      <c r="C23" s="244">
        <f t="shared" si="0"/>
        <v>14.792960000000003</v>
      </c>
      <c r="D23" s="241">
        <f t="shared" si="1"/>
        <v>1079.8860800000002</v>
      </c>
      <c r="E23" s="242">
        <f>D23*(1+0.03)^-($B23-'Global Assumptions'!$C$6)</f>
        <v>563.58444695949197</v>
      </c>
      <c r="F23" s="245">
        <f>'H_Campbell Watermain_Benefits'!$J$9*'H_Campbell Watermain_Benefits'!$J$10</f>
        <v>2080</v>
      </c>
      <c r="H23" s="261">
        <v>2030</v>
      </c>
      <c r="I23" s="262">
        <v>18000</v>
      </c>
      <c r="J23" s="262">
        <v>48200</v>
      </c>
      <c r="K23" s="262">
        <v>852700</v>
      </c>
      <c r="L23" s="262">
        <v>61</v>
      </c>
    </row>
    <row r="24" spans="1:12" ht="15" customHeight="1" thickBot="1" x14ac:dyDescent="0.3">
      <c r="B24" s="3">
        <f t="shared" si="2"/>
        <v>2042</v>
      </c>
      <c r="C24" s="263">
        <f t="shared" si="0"/>
        <v>14.792960000000003</v>
      </c>
      <c r="D24" s="264">
        <f t="shared" si="1"/>
        <v>1109.4720000000002</v>
      </c>
      <c r="E24" s="265">
        <f>D24*(1+0.03)^-($B24-'Global Assumptions'!$C$6)</f>
        <v>562.16030751379026</v>
      </c>
      <c r="F24" s="266">
        <f>'H_Campbell Watermain_Benefits'!$J$9*'H_Campbell Watermain_Benefits'!$J$10</f>
        <v>2080</v>
      </c>
      <c r="H24" s="261">
        <v>2031</v>
      </c>
      <c r="I24" s="262">
        <v>18000</v>
      </c>
      <c r="J24" s="262">
        <v>48200</v>
      </c>
      <c r="K24" s="262">
        <v>852700</v>
      </c>
      <c r="L24" s="262">
        <v>62</v>
      </c>
    </row>
    <row r="25" spans="1:12" x14ac:dyDescent="0.25">
      <c r="B25" s="4"/>
      <c r="C25" s="4"/>
      <c r="D25" s="274" t="s">
        <v>2</v>
      </c>
      <c r="E25" s="275">
        <f>SUM(E5:E24)</f>
        <v>12676.128874809436</v>
      </c>
      <c r="F25" s="276"/>
      <c r="H25" s="261">
        <v>2032</v>
      </c>
      <c r="I25" s="262">
        <v>18000</v>
      </c>
      <c r="J25" s="262">
        <v>48200</v>
      </c>
      <c r="K25" s="262">
        <v>852700</v>
      </c>
      <c r="L25" s="262">
        <v>63</v>
      </c>
    </row>
    <row r="26" spans="1:12" x14ac:dyDescent="0.25">
      <c r="H26" s="261">
        <v>2033</v>
      </c>
      <c r="I26" s="262">
        <v>18000</v>
      </c>
      <c r="J26" s="262">
        <v>48200</v>
      </c>
      <c r="K26" s="262">
        <v>852700</v>
      </c>
      <c r="L26" s="262">
        <v>64</v>
      </c>
    </row>
    <row r="27" spans="1:12" x14ac:dyDescent="0.25">
      <c r="B27" s="151" t="s">
        <v>3</v>
      </c>
      <c r="C27" s="151"/>
      <c r="D27" s="151"/>
      <c r="E27" s="151"/>
      <c r="H27" s="261">
        <v>2034</v>
      </c>
      <c r="I27" s="262">
        <v>18000</v>
      </c>
      <c r="J27" s="262">
        <v>48200</v>
      </c>
      <c r="K27" s="262">
        <v>852700</v>
      </c>
      <c r="L27" s="262">
        <v>66</v>
      </c>
    </row>
    <row r="28" spans="1:12" ht="15" customHeight="1" x14ac:dyDescent="0.25">
      <c r="A28" s="152" t="s">
        <v>24</v>
      </c>
      <c r="B28" s="369" t="s">
        <v>239</v>
      </c>
      <c r="C28" s="369"/>
      <c r="D28" s="369"/>
      <c r="E28" s="369"/>
      <c r="F28" s="369"/>
      <c r="H28" s="261">
        <v>2035</v>
      </c>
      <c r="I28" s="262">
        <v>18000</v>
      </c>
      <c r="J28" s="262">
        <v>48200</v>
      </c>
      <c r="K28" s="262">
        <v>852700</v>
      </c>
      <c r="L28" s="262">
        <v>67</v>
      </c>
    </row>
    <row r="29" spans="1:12" x14ac:dyDescent="0.25">
      <c r="B29" s="369"/>
      <c r="C29" s="369"/>
      <c r="D29" s="369"/>
      <c r="E29" s="369"/>
      <c r="F29" s="369"/>
      <c r="H29" s="261">
        <v>2036</v>
      </c>
      <c r="I29" s="262">
        <v>18000</v>
      </c>
      <c r="J29" s="262">
        <v>48200</v>
      </c>
      <c r="K29" s="262">
        <v>852700</v>
      </c>
      <c r="L29" s="262">
        <v>68</v>
      </c>
    </row>
    <row r="30" spans="1:12" x14ac:dyDescent="0.25">
      <c r="B30" s="369"/>
      <c r="C30" s="369"/>
      <c r="D30" s="369"/>
      <c r="E30" s="369"/>
      <c r="F30" s="369"/>
      <c r="H30" s="261">
        <v>2037</v>
      </c>
      <c r="I30" s="262">
        <v>18000</v>
      </c>
      <c r="J30" s="262">
        <v>48200</v>
      </c>
      <c r="K30" s="262">
        <v>852700</v>
      </c>
      <c r="L30" s="262">
        <v>69</v>
      </c>
    </row>
    <row r="31" spans="1:12" x14ac:dyDescent="0.25">
      <c r="B31" s="151"/>
      <c r="C31" s="151"/>
      <c r="D31" s="151"/>
      <c r="E31" s="151"/>
      <c r="H31" s="261">
        <v>2038</v>
      </c>
      <c r="I31" s="262">
        <v>18000</v>
      </c>
      <c r="J31" s="262">
        <v>48200</v>
      </c>
      <c r="K31" s="262">
        <v>852700</v>
      </c>
      <c r="L31" s="262">
        <v>70</v>
      </c>
    </row>
    <row r="32" spans="1:12" x14ac:dyDescent="0.25">
      <c r="A32" s="152" t="s">
        <v>23</v>
      </c>
      <c r="B32" s="369" t="s">
        <v>235</v>
      </c>
      <c r="C32" s="369"/>
      <c r="D32" s="369"/>
      <c r="E32" s="369"/>
      <c r="F32" s="369"/>
      <c r="H32" s="261">
        <v>2039</v>
      </c>
      <c r="I32" s="262">
        <v>18000</v>
      </c>
      <c r="J32" s="262">
        <v>48200</v>
      </c>
      <c r="K32" s="262">
        <v>852700</v>
      </c>
      <c r="L32" s="262">
        <v>71</v>
      </c>
    </row>
    <row r="33" spans="1:14" x14ac:dyDescent="0.25">
      <c r="B33" s="369"/>
      <c r="C33" s="369"/>
      <c r="D33" s="369"/>
      <c r="E33" s="369"/>
      <c r="F33" s="369"/>
      <c r="H33" s="261">
        <v>2040</v>
      </c>
      <c r="I33" s="262">
        <v>18000</v>
      </c>
      <c r="J33" s="262">
        <v>48200</v>
      </c>
      <c r="K33" s="262">
        <v>852700</v>
      </c>
      <c r="L33" s="262">
        <v>72</v>
      </c>
    </row>
    <row r="34" spans="1:14" x14ac:dyDescent="0.25">
      <c r="A34" s="152"/>
      <c r="B34" s="294" t="s">
        <v>65</v>
      </c>
      <c r="E34" s="50"/>
      <c r="F34" s="21"/>
      <c r="H34" s="261">
        <v>2041</v>
      </c>
      <c r="I34" s="262">
        <v>18000</v>
      </c>
      <c r="J34" s="262">
        <v>48200</v>
      </c>
      <c r="K34" s="262">
        <v>852700</v>
      </c>
      <c r="L34" s="262">
        <v>73</v>
      </c>
    </row>
    <row r="35" spans="1:14" x14ac:dyDescent="0.25">
      <c r="A35" s="152"/>
      <c r="B35" s="332">
        <v>0.8</v>
      </c>
      <c r="C35" s="50"/>
      <c r="E35" s="50"/>
      <c r="F35" s="50"/>
      <c r="G35" s="214"/>
      <c r="H35" s="261">
        <v>2042</v>
      </c>
      <c r="I35" s="262">
        <v>18000</v>
      </c>
      <c r="J35" s="262">
        <v>48200</v>
      </c>
      <c r="K35" s="262">
        <v>852700</v>
      </c>
      <c r="L35" s="262">
        <v>75</v>
      </c>
    </row>
    <row r="36" spans="1:14" x14ac:dyDescent="0.25">
      <c r="B36" s="333" t="s">
        <v>66</v>
      </c>
      <c r="C36" s="50"/>
      <c r="E36" s="50"/>
      <c r="F36" s="50"/>
      <c r="G36" s="214"/>
      <c r="H36" s="261">
        <v>2043</v>
      </c>
      <c r="I36" s="262">
        <v>18000</v>
      </c>
      <c r="J36" s="262">
        <v>48200</v>
      </c>
      <c r="K36" s="262">
        <v>852700</v>
      </c>
      <c r="L36" s="262">
        <v>76</v>
      </c>
    </row>
    <row r="37" spans="1:14" x14ac:dyDescent="0.25">
      <c r="A37" s="152"/>
      <c r="B37" s="334"/>
      <c r="C37" s="50"/>
      <c r="D37" s="50"/>
      <c r="E37" s="50"/>
      <c r="F37" s="50"/>
      <c r="H37" s="261">
        <v>2044</v>
      </c>
      <c r="I37" s="262">
        <v>18000</v>
      </c>
      <c r="J37" s="262">
        <v>48200</v>
      </c>
      <c r="K37" s="262">
        <v>852700</v>
      </c>
      <c r="L37" s="262">
        <v>77</v>
      </c>
    </row>
    <row r="38" spans="1:14" ht="15" customHeight="1" x14ac:dyDescent="0.25">
      <c r="A38" s="152"/>
      <c r="B38" s="50"/>
      <c r="C38" s="187"/>
      <c r="E38" s="187"/>
      <c r="F38" s="187"/>
      <c r="H38" s="261">
        <v>2045</v>
      </c>
      <c r="I38" s="262">
        <v>18000</v>
      </c>
      <c r="J38" s="262">
        <v>48200</v>
      </c>
      <c r="K38" s="262">
        <v>852700</v>
      </c>
      <c r="L38" s="262">
        <v>78</v>
      </c>
    </row>
    <row r="39" spans="1:14" x14ac:dyDescent="0.25">
      <c r="A39" s="152"/>
      <c r="B39" s="151" t="s">
        <v>306</v>
      </c>
      <c r="E39" s="187"/>
      <c r="F39" s="187"/>
      <c r="H39" s="261">
        <v>2046</v>
      </c>
      <c r="I39" s="262">
        <v>18000</v>
      </c>
      <c r="J39" s="262">
        <v>48200</v>
      </c>
      <c r="K39" s="262">
        <v>852700</v>
      </c>
      <c r="L39" s="262">
        <v>79</v>
      </c>
    </row>
    <row r="40" spans="1:14" x14ac:dyDescent="0.25">
      <c r="A40" s="152"/>
      <c r="B40" s="319">
        <v>8.89</v>
      </c>
      <c r="C40" s="187"/>
      <c r="E40" s="187"/>
      <c r="F40" s="187"/>
      <c r="H40" s="261">
        <v>2047</v>
      </c>
      <c r="I40" s="262">
        <v>18000</v>
      </c>
      <c r="J40" s="262">
        <v>48200</v>
      </c>
      <c r="K40" s="262">
        <v>852700</v>
      </c>
      <c r="L40" s="262">
        <v>80</v>
      </c>
    </row>
    <row r="41" spans="1:14" x14ac:dyDescent="0.25">
      <c r="A41" s="152"/>
      <c r="B41" s="159" t="s">
        <v>305</v>
      </c>
      <c r="C41" s="187"/>
      <c r="D41" s="187"/>
      <c r="E41" s="187"/>
      <c r="F41" s="187"/>
      <c r="H41" s="261">
        <v>2048</v>
      </c>
      <c r="I41" s="262">
        <v>18000</v>
      </c>
      <c r="J41" s="262">
        <v>48200</v>
      </c>
      <c r="K41" s="262">
        <v>852700</v>
      </c>
      <c r="L41" s="262">
        <v>81</v>
      </c>
    </row>
    <row r="42" spans="1:14" ht="15" customHeight="1" x14ac:dyDescent="0.25">
      <c r="C42" s="187"/>
      <c r="D42" s="187"/>
      <c r="E42" s="187"/>
      <c r="F42" s="187"/>
      <c r="H42" s="261">
        <v>2049</v>
      </c>
      <c r="I42" s="262">
        <v>18000</v>
      </c>
      <c r="J42" s="262">
        <v>48200</v>
      </c>
      <c r="K42" s="262">
        <v>852700</v>
      </c>
      <c r="L42" s="262">
        <v>83</v>
      </c>
    </row>
    <row r="43" spans="1:14" ht="15.75" customHeight="1" x14ac:dyDescent="0.25">
      <c r="A43" s="152"/>
      <c r="B43" s="187"/>
      <c r="C43" s="50"/>
      <c r="D43" s="50"/>
      <c r="E43" s="50"/>
      <c r="F43" s="21"/>
      <c r="H43" s="261">
        <v>2050</v>
      </c>
      <c r="I43" s="262">
        <v>18000</v>
      </c>
      <c r="J43" s="262">
        <v>48200</v>
      </c>
      <c r="K43" s="262">
        <v>852700</v>
      </c>
      <c r="L43" s="262">
        <v>84</v>
      </c>
    </row>
    <row r="44" spans="1:14" x14ac:dyDescent="0.25">
      <c r="B44" s="50"/>
      <c r="C44" s="50"/>
      <c r="D44" s="50"/>
      <c r="E44" s="50"/>
      <c r="F44" s="21"/>
      <c r="H44" s="278">
        <v>2051</v>
      </c>
      <c r="I44" s="279">
        <f>I43</f>
        <v>18000</v>
      </c>
      <c r="J44" s="279">
        <f t="shared" ref="J44:L48" si="3">J43</f>
        <v>48200</v>
      </c>
      <c r="K44" s="279">
        <f t="shared" si="3"/>
        <v>852700</v>
      </c>
      <c r="L44" s="279">
        <f>L43</f>
        <v>84</v>
      </c>
      <c r="M44" s="419" t="s">
        <v>236</v>
      </c>
      <c r="N44" s="369"/>
    </row>
    <row r="45" spans="1:14" ht="15" customHeight="1" x14ac:dyDescent="0.25">
      <c r="B45" s="50"/>
      <c r="C45" s="50"/>
      <c r="D45" s="50"/>
      <c r="E45" s="50"/>
      <c r="F45" s="21"/>
      <c r="H45" s="278">
        <v>2052</v>
      </c>
      <c r="I45" s="279">
        <f t="shared" ref="I45:I48" si="4">I44</f>
        <v>18000</v>
      </c>
      <c r="J45" s="279">
        <f t="shared" si="3"/>
        <v>48200</v>
      </c>
      <c r="K45" s="279">
        <f t="shared" si="3"/>
        <v>852700</v>
      </c>
      <c r="L45" s="279">
        <f t="shared" si="3"/>
        <v>84</v>
      </c>
      <c r="M45" s="419"/>
      <c r="N45" s="369"/>
    </row>
    <row r="46" spans="1:14" x14ac:dyDescent="0.25">
      <c r="B46" s="50"/>
      <c r="C46" s="50"/>
      <c r="D46" s="50"/>
      <c r="E46" s="50"/>
      <c r="F46" s="21"/>
      <c r="H46" s="278">
        <v>2053</v>
      </c>
      <c r="I46" s="279">
        <f t="shared" si="4"/>
        <v>18000</v>
      </c>
      <c r="J46" s="279">
        <f t="shared" si="3"/>
        <v>48200</v>
      </c>
      <c r="K46" s="279">
        <f t="shared" si="3"/>
        <v>852700</v>
      </c>
      <c r="L46" s="279">
        <f t="shared" si="3"/>
        <v>84</v>
      </c>
      <c r="M46" s="419"/>
      <c r="N46" s="369"/>
    </row>
    <row r="47" spans="1:14" x14ac:dyDescent="0.25">
      <c r="A47" s="152"/>
      <c r="B47" s="50"/>
      <c r="C47" s="50"/>
      <c r="D47" s="50"/>
      <c r="E47" s="50"/>
      <c r="F47" s="21"/>
      <c r="H47" s="278">
        <v>2054</v>
      </c>
      <c r="I47" s="279">
        <f t="shared" si="4"/>
        <v>18000</v>
      </c>
      <c r="J47" s="279">
        <f t="shared" si="3"/>
        <v>48200</v>
      </c>
      <c r="K47" s="279">
        <f t="shared" si="3"/>
        <v>852700</v>
      </c>
      <c r="L47" s="279">
        <f t="shared" si="3"/>
        <v>84</v>
      </c>
      <c r="M47" s="419"/>
      <c r="N47" s="369"/>
    </row>
    <row r="48" spans="1:14" x14ac:dyDescent="0.25">
      <c r="B48" s="50"/>
      <c r="C48" s="50"/>
      <c r="D48" s="50"/>
      <c r="E48" s="50"/>
      <c r="F48" s="21"/>
      <c r="H48" s="278">
        <v>2055</v>
      </c>
      <c r="I48" s="279">
        <f t="shared" si="4"/>
        <v>18000</v>
      </c>
      <c r="J48" s="279">
        <f t="shared" si="3"/>
        <v>48200</v>
      </c>
      <c r="K48" s="279">
        <f t="shared" si="3"/>
        <v>852700</v>
      </c>
      <c r="L48" s="279">
        <f t="shared" si="3"/>
        <v>84</v>
      </c>
      <c r="M48" s="419"/>
      <c r="N48" s="369"/>
    </row>
    <row r="49" spans="1:6" x14ac:dyDescent="0.25">
      <c r="B49" s="50"/>
      <c r="C49" s="50"/>
      <c r="D49" s="50"/>
      <c r="E49" s="50"/>
      <c r="F49" s="21"/>
    </row>
    <row r="50" spans="1:6" x14ac:dyDescent="0.25">
      <c r="B50" s="50"/>
      <c r="C50" s="50"/>
      <c r="D50" s="50"/>
      <c r="E50" s="50"/>
      <c r="F50" s="21"/>
    </row>
    <row r="51" spans="1:6" x14ac:dyDescent="0.25">
      <c r="B51" s="50"/>
      <c r="C51" s="50"/>
      <c r="D51" s="50"/>
      <c r="E51" s="50"/>
      <c r="F51" s="21"/>
    </row>
    <row r="52" spans="1:6" x14ac:dyDescent="0.25">
      <c r="B52" s="50"/>
      <c r="C52" s="50"/>
      <c r="D52" s="50"/>
      <c r="E52" s="50"/>
      <c r="F52" s="21"/>
    </row>
    <row r="53" spans="1:6" x14ac:dyDescent="0.25">
      <c r="B53" s="50"/>
      <c r="C53" s="50"/>
      <c r="D53" s="50"/>
      <c r="E53" s="50"/>
      <c r="F53" s="21"/>
    </row>
    <row r="54" spans="1:6" x14ac:dyDescent="0.25">
      <c r="B54" s="50"/>
      <c r="C54" s="50"/>
      <c r="D54" s="50"/>
      <c r="E54" s="50"/>
      <c r="F54" s="21"/>
    </row>
    <row r="55" spans="1:6" x14ac:dyDescent="0.25">
      <c r="A55" s="152"/>
      <c r="B55" s="50"/>
      <c r="C55" s="50"/>
      <c r="D55" s="50"/>
      <c r="E55" s="50"/>
      <c r="F55" s="21"/>
    </row>
    <row r="57" spans="1:6" x14ac:dyDescent="0.25">
      <c r="F57" s="214"/>
    </row>
    <row r="58" spans="1:6" x14ac:dyDescent="0.25">
      <c r="B58" s="214"/>
      <c r="C58" s="214"/>
      <c r="D58" s="214"/>
      <c r="E58" s="214"/>
      <c r="F58" s="214"/>
    </row>
    <row r="60" spans="1:6" x14ac:dyDescent="0.25">
      <c r="A60" s="152"/>
      <c r="B60" s="21"/>
      <c r="C60" s="21"/>
      <c r="D60" s="21"/>
      <c r="E60" s="21"/>
      <c r="F60" s="21"/>
    </row>
    <row r="61" spans="1:6" x14ac:dyDescent="0.25">
      <c r="B61" s="21"/>
      <c r="C61" s="21"/>
      <c r="D61" s="21"/>
      <c r="E61" s="21"/>
      <c r="F61" s="21"/>
    </row>
    <row r="63" spans="1:6" x14ac:dyDescent="0.25">
      <c r="A63" s="152"/>
    </row>
  </sheetData>
  <mergeCells count="10">
    <mergeCell ref="C2:E2"/>
    <mergeCell ref="B3:B4"/>
    <mergeCell ref="C3:C4"/>
    <mergeCell ref="D3:D4"/>
    <mergeCell ref="E3:E4"/>
    <mergeCell ref="F3:F4"/>
    <mergeCell ref="B28:F30"/>
    <mergeCell ref="B32:F33"/>
    <mergeCell ref="M44:N48"/>
    <mergeCell ref="J8:K8"/>
  </mergeCells>
  <hyperlinks>
    <hyperlink ref="B36" r:id="rId1" xr:uid="{ECB35837-53FB-4085-8EE9-BF140DD90794}"/>
    <hyperlink ref="B41" r:id="rId2" xr:uid="{B2F97017-E3BB-4489-AC89-5E78750EDE9C}"/>
  </hyperlinks>
  <pageMargins left="0.25" right="0.25" top="0.75" bottom="0.75" header="0.3" footer="0.3"/>
  <pageSetup paperSize="3" scale="51" orientation="landscape"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7706-6F7B-434D-996A-3413E7067382}">
  <sheetPr>
    <tabColor rgb="FFC00000"/>
    <pageSetUpPr fitToPage="1"/>
  </sheetPr>
  <dimension ref="A2:M63"/>
  <sheetViews>
    <sheetView view="pageBreakPreview" zoomScale="85" zoomScaleNormal="85" zoomScaleSheetLayoutView="85" workbookViewId="0">
      <selection activeCell="G29" sqref="G29"/>
    </sheetView>
  </sheetViews>
  <sheetFormatPr defaultRowHeight="15" x14ac:dyDescent="0.25"/>
  <cols>
    <col min="1" max="1" width="5.140625" style="220" customWidth="1"/>
    <col min="2" max="7" width="15.7109375" style="220" customWidth="1"/>
    <col min="8" max="8" width="27.85546875" style="220" customWidth="1"/>
    <col min="9" max="10" width="21.140625" style="220" customWidth="1"/>
    <col min="11" max="11" width="16" style="220" customWidth="1"/>
    <col min="12" max="12" width="20.5703125" style="220" customWidth="1"/>
    <col min="13" max="13" width="16" style="220" customWidth="1"/>
    <col min="14" max="14" width="13.140625" style="220" customWidth="1"/>
    <col min="15" max="16384" width="9.140625" style="220"/>
  </cols>
  <sheetData>
    <row r="2" spans="2:13" x14ac:dyDescent="0.25">
      <c r="B2" s="151" t="s">
        <v>51</v>
      </c>
    </row>
    <row r="3" spans="2:13" ht="15.75" customHeight="1" x14ac:dyDescent="0.25">
      <c r="C3" s="123"/>
      <c r="D3" s="123"/>
      <c r="E3" s="123"/>
      <c r="F3" s="123"/>
    </row>
    <row r="4" spans="2:13" ht="15.75" thickBot="1" x14ac:dyDescent="0.3">
      <c r="C4" s="108"/>
      <c r="D4" s="108"/>
      <c r="E4" s="108"/>
      <c r="F4" s="108"/>
    </row>
    <row r="5" spans="2:13" ht="15.75" customHeight="1" x14ac:dyDescent="0.25">
      <c r="B5" s="380" t="s">
        <v>0</v>
      </c>
      <c r="C5" s="382" t="s">
        <v>26</v>
      </c>
      <c r="D5" s="384" t="s">
        <v>1</v>
      </c>
      <c r="E5" s="386" t="s">
        <v>47</v>
      </c>
      <c r="F5" s="370" t="s">
        <v>48</v>
      </c>
      <c r="H5" s="151" t="s">
        <v>32</v>
      </c>
    </row>
    <row r="6" spans="2:13" ht="15.75" customHeight="1" thickBot="1" x14ac:dyDescent="0.3">
      <c r="B6" s="381"/>
      <c r="C6" s="383"/>
      <c r="D6" s="385"/>
      <c r="E6" s="387"/>
      <c r="F6" s="371"/>
      <c r="I6" s="139" t="s">
        <v>54</v>
      </c>
      <c r="J6" s="104"/>
      <c r="M6" s="103"/>
    </row>
    <row r="7" spans="2:13" ht="15.75" customHeight="1" x14ac:dyDescent="0.25">
      <c r="B7" s="302">
        <f>'Global Assumptions'!$C$6</f>
        <v>2019</v>
      </c>
      <c r="C7" s="308">
        <f t="shared" ref="C7:C44" si="0">IF(AND($B7&gt;=$I$7,$B7&lt;$I$7+$I$8),($J$21)/$I$8,0)</f>
        <v>0</v>
      </c>
      <c r="D7" s="303">
        <f>C7*(1+0.07)^-($B7-'Global Assumptions'!$C$6)</f>
        <v>0</v>
      </c>
      <c r="E7" s="309">
        <f>IF($B7=$I$11,'H_Campbell Watermain_Costs'!$J$31,0)</f>
        <v>0</v>
      </c>
      <c r="F7" s="303">
        <f>E7*(1+0.07)^-($B7-'Global Assumptions'!$C$6)</f>
        <v>0</v>
      </c>
      <c r="H7" s="153" t="s">
        <v>33</v>
      </c>
      <c r="I7" s="95">
        <v>2022</v>
      </c>
      <c r="J7" s="9"/>
      <c r="M7" s="103"/>
    </row>
    <row r="8" spans="2:13" ht="15.75" customHeight="1" x14ac:dyDescent="0.25">
      <c r="B8" s="106">
        <f>B7+1</f>
        <v>2020</v>
      </c>
      <c r="C8" s="304">
        <f t="shared" si="0"/>
        <v>0</v>
      </c>
      <c r="D8" s="305">
        <f>C8*(1+0.07)^-($B8-'Global Assumptions'!$C$6)</f>
        <v>0</v>
      </c>
      <c r="E8" s="310">
        <f>IF($B8=$I$11,'H_Campbell Watermain_Costs'!$J$31,0)</f>
        <v>0</v>
      </c>
      <c r="F8" s="305">
        <f>E8*(1+0.07)^-($B8-'Global Assumptions'!$C$6)</f>
        <v>0</v>
      </c>
      <c r="H8" s="153" t="s">
        <v>31</v>
      </c>
      <c r="I8" s="95">
        <v>1</v>
      </c>
      <c r="J8" s="105"/>
      <c r="M8" s="103"/>
    </row>
    <row r="9" spans="2:13" ht="15.75" customHeight="1" x14ac:dyDescent="0.25">
      <c r="B9" s="106">
        <f t="shared" ref="B9:B44" si="1">B8+1</f>
        <v>2021</v>
      </c>
      <c r="C9" s="306">
        <f t="shared" si="0"/>
        <v>0</v>
      </c>
      <c r="D9" s="71">
        <f>C9*(1+0.07)^-($B9-'Global Assumptions'!$C$6)</f>
        <v>0</v>
      </c>
      <c r="E9" s="301">
        <f>IF($B9=$I$11,'H_Campbell Watermain_Costs'!$J$31,0)</f>
        <v>0</v>
      </c>
      <c r="F9" s="71">
        <f>E9*(1+0.07)^-($B9-'Global Assumptions'!$C$6)</f>
        <v>0</v>
      </c>
      <c r="H9" s="64" t="s">
        <v>59</v>
      </c>
      <c r="I9" s="65">
        <v>20</v>
      </c>
      <c r="J9" s="105"/>
      <c r="M9" s="103"/>
    </row>
    <row r="10" spans="2:13" ht="15.75" customHeight="1" x14ac:dyDescent="0.25">
      <c r="B10" s="106">
        <f t="shared" si="1"/>
        <v>2022</v>
      </c>
      <c r="C10" s="306">
        <f t="shared" si="0"/>
        <v>2072330</v>
      </c>
      <c r="D10" s="71">
        <f>C10*(1+0.07)^-($B10-'Global Assumptions'!$C$6)</f>
        <v>1691638.579217219</v>
      </c>
      <c r="E10" s="301">
        <f>IF($B10=$I$11,'H_Campbell Watermain_Costs'!$J$31,0)</f>
        <v>0</v>
      </c>
      <c r="F10" s="71">
        <f>E10*(1+0.07)^-($B10-'Global Assumptions'!$C$6)</f>
        <v>0</v>
      </c>
      <c r="H10" s="64" t="s">
        <v>53</v>
      </c>
      <c r="I10" s="65">
        <f>I7+I8</f>
        <v>2023</v>
      </c>
      <c r="M10" s="103"/>
    </row>
    <row r="11" spans="2:13" ht="15.75" customHeight="1" x14ac:dyDescent="0.25">
      <c r="B11" s="106">
        <f t="shared" si="1"/>
        <v>2023</v>
      </c>
      <c r="C11" s="306">
        <f t="shared" si="0"/>
        <v>0</v>
      </c>
      <c r="D11" s="71">
        <f>C11*(1+0.07)^-($B11-'Global Assumptions'!$C$6)</f>
        <v>0</v>
      </c>
      <c r="E11" s="301">
        <f>IF($B11=$I$11,'H_Campbell Watermain_Costs'!$J$31,0)</f>
        <v>0</v>
      </c>
      <c r="F11" s="71">
        <f>E11*(1+0.07)^-($B11-'Global Assumptions'!$C$6)</f>
        <v>0</v>
      </c>
      <c r="H11" s="64" t="s">
        <v>43</v>
      </c>
      <c r="I11" s="65">
        <f>I10+I9-1</f>
        <v>2042</v>
      </c>
      <c r="M11" s="103"/>
    </row>
    <row r="12" spans="2:13" ht="15.75" customHeight="1" x14ac:dyDescent="0.25">
      <c r="B12" s="106">
        <f t="shared" si="1"/>
        <v>2024</v>
      </c>
      <c r="C12" s="306">
        <f t="shared" si="0"/>
        <v>0</v>
      </c>
      <c r="D12" s="71">
        <f>C12*(1+0.07)^-($B12-'Global Assumptions'!$C$6)</f>
        <v>0</v>
      </c>
      <c r="E12" s="301">
        <f>IF($B12=$I$11,'H_Campbell Watermain_Costs'!$J$31,0)</f>
        <v>0</v>
      </c>
      <c r="F12" s="71">
        <f>E12*(1+0.07)^-($B12-'Global Assumptions'!$C$6)</f>
        <v>0</v>
      </c>
      <c r="H12" s="64" t="s">
        <v>75</v>
      </c>
      <c r="I12" s="65">
        <v>100</v>
      </c>
      <c r="M12" s="103"/>
    </row>
    <row r="13" spans="2:13" ht="15.75" customHeight="1" x14ac:dyDescent="0.25">
      <c r="B13" s="106">
        <f t="shared" si="1"/>
        <v>2025</v>
      </c>
      <c r="C13" s="306">
        <f t="shared" si="0"/>
        <v>0</v>
      </c>
      <c r="D13" s="71">
        <f>C13*(1+0.07)^-($B13-'Global Assumptions'!$C$6)</f>
        <v>0</v>
      </c>
      <c r="E13" s="301">
        <f>IF($B13=$I$11,'H_Campbell Watermain_Costs'!$J$31,0)</f>
        <v>0</v>
      </c>
      <c r="F13" s="71">
        <f>E13*(1+0.07)^-($B13-'Global Assumptions'!$C$6)</f>
        <v>0</v>
      </c>
      <c r="H13" s="129"/>
      <c r="I13" s="130"/>
      <c r="M13" s="103"/>
    </row>
    <row r="14" spans="2:13" ht="15.75" customHeight="1" x14ac:dyDescent="0.25">
      <c r="B14" s="106">
        <f t="shared" si="1"/>
        <v>2026</v>
      </c>
      <c r="C14" s="306">
        <f t="shared" si="0"/>
        <v>0</v>
      </c>
      <c r="D14" s="71">
        <f>C14*(1+0.07)^-($B14-'Global Assumptions'!$C$6)</f>
        <v>0</v>
      </c>
      <c r="E14" s="301">
        <f>IF($B14=$I$11,'H_Campbell Watermain_Costs'!$J$31,0)</f>
        <v>0</v>
      </c>
      <c r="F14" s="71">
        <f>E14*(1+0.07)^-($B14-'Global Assumptions'!$C$6)</f>
        <v>0</v>
      </c>
      <c r="H14" s="22" t="s">
        <v>34</v>
      </c>
      <c r="J14" s="124"/>
      <c r="K14" s="22"/>
    </row>
    <row r="15" spans="2:13" ht="15.75" customHeight="1" x14ac:dyDescent="0.25">
      <c r="B15" s="106">
        <f t="shared" si="1"/>
        <v>2027</v>
      </c>
      <c r="C15" s="306">
        <f t="shared" si="0"/>
        <v>0</v>
      </c>
      <c r="D15" s="71">
        <f>C15*(1+0.07)^-($B15-'Global Assumptions'!$C$6)</f>
        <v>0</v>
      </c>
      <c r="E15" s="301">
        <f>IF($B15=$I$11,'H_Campbell Watermain_Costs'!$J$31,0)</f>
        <v>0</v>
      </c>
      <c r="F15" s="71">
        <f>E15*(1+0.07)^-($B15-'Global Assumptions'!$C$6)</f>
        <v>0</v>
      </c>
      <c r="H15" s="397" t="s">
        <v>4</v>
      </c>
      <c r="I15" s="390" t="s">
        <v>5</v>
      </c>
      <c r="J15" s="393" t="s">
        <v>261</v>
      </c>
      <c r="K15" s="73"/>
    </row>
    <row r="16" spans="2:13" ht="15.75" customHeight="1" x14ac:dyDescent="0.25">
      <c r="B16" s="106">
        <f t="shared" si="1"/>
        <v>2028</v>
      </c>
      <c r="C16" s="306">
        <f t="shared" si="0"/>
        <v>0</v>
      </c>
      <c r="D16" s="71">
        <f>C16*(1+0.07)^-($B16-'Global Assumptions'!$C$6)</f>
        <v>0</v>
      </c>
      <c r="E16" s="301">
        <f>IF($B16=$I$11,'H_Campbell Watermain_Costs'!$J$31,0)</f>
        <v>0</v>
      </c>
      <c r="F16" s="71">
        <f>E16*(1+0.07)^-($B16-'Global Assumptions'!$C$6)</f>
        <v>0</v>
      </c>
      <c r="H16" s="398"/>
      <c r="I16" s="391"/>
      <c r="J16" s="394"/>
      <c r="K16" s="73"/>
    </row>
    <row r="17" spans="2:11" ht="15.75" customHeight="1" x14ac:dyDescent="0.25">
      <c r="B17" s="106">
        <f t="shared" si="1"/>
        <v>2029</v>
      </c>
      <c r="C17" s="306">
        <f t="shared" si="0"/>
        <v>0</v>
      </c>
      <c r="D17" s="71">
        <f>C17*(1+0.07)^-($B17-'Global Assumptions'!$C$6)</f>
        <v>0</v>
      </c>
      <c r="E17" s="301">
        <f>IF($B17=$I$11,'H_Campbell Watermain_Costs'!$J$31,0)</f>
        <v>0</v>
      </c>
      <c r="F17" s="71">
        <f>E17*(1+0.07)^-($B17-'Global Assumptions'!$C$6)</f>
        <v>0</v>
      </c>
      <c r="H17" s="399"/>
      <c r="I17" s="392"/>
      <c r="J17" s="395"/>
      <c r="K17" s="73"/>
    </row>
    <row r="18" spans="2:11" ht="15.75" customHeight="1" x14ac:dyDescent="0.25">
      <c r="B18" s="106">
        <f t="shared" si="1"/>
        <v>2030</v>
      </c>
      <c r="C18" s="306">
        <f t="shared" si="0"/>
        <v>0</v>
      </c>
      <c r="D18" s="71">
        <f>C18*(1+0.07)^-($B18-'Global Assumptions'!$C$6)</f>
        <v>0</v>
      </c>
      <c r="E18" s="301">
        <f>IF($B18=$I$11,'H_Campbell Watermain_Costs'!$J$31,0)</f>
        <v>0</v>
      </c>
      <c r="F18" s="71">
        <f>E18*(1+0.07)^-($B18-'Global Assumptions'!$C$6)</f>
        <v>0</v>
      </c>
      <c r="H18" s="153" t="s">
        <v>265</v>
      </c>
      <c r="I18" s="28">
        <v>100</v>
      </c>
      <c r="J18" s="62">
        <v>2072330</v>
      </c>
      <c r="K18" s="74"/>
    </row>
    <row r="19" spans="2:11" ht="15.75" customHeight="1" x14ac:dyDescent="0.25">
      <c r="B19" s="106">
        <f t="shared" si="1"/>
        <v>2031</v>
      </c>
      <c r="C19" s="306">
        <f t="shared" si="0"/>
        <v>0</v>
      </c>
      <c r="D19" s="71">
        <f>C19*(1+0.07)^-($B19-'Global Assumptions'!$C$6)</f>
        <v>0</v>
      </c>
      <c r="E19" s="301">
        <f>IF($B19=$I$11,'H_Campbell Watermain_Costs'!$J$31,0)</f>
        <v>0</v>
      </c>
      <c r="F19" s="71">
        <f>E19*(1+0.07)^-($B19-'Global Assumptions'!$C$6)</f>
        <v>0</v>
      </c>
      <c r="H19" s="153"/>
      <c r="I19" s="28"/>
      <c r="J19" s="62"/>
      <c r="K19" s="74"/>
    </row>
    <row r="20" spans="2:11" ht="15.75" customHeight="1" x14ac:dyDescent="0.25">
      <c r="B20" s="106">
        <f t="shared" si="1"/>
        <v>2032</v>
      </c>
      <c r="C20" s="306">
        <f t="shared" si="0"/>
        <v>0</v>
      </c>
      <c r="D20" s="71">
        <f>C20*(1+0.07)^-($B20-'Global Assumptions'!$C$6)</f>
        <v>0</v>
      </c>
      <c r="E20" s="301">
        <f>IF($B20=$I$11,'H_Campbell Watermain_Costs'!$J$31,0)</f>
        <v>0</v>
      </c>
      <c r="F20" s="71">
        <f>E20*(1+0.07)^-($B20-'Global Assumptions'!$C$6)</f>
        <v>0</v>
      </c>
      <c r="H20" s="153"/>
      <c r="I20" s="28"/>
      <c r="J20" s="62"/>
      <c r="K20" s="74"/>
    </row>
    <row r="21" spans="2:11" ht="15.75" customHeight="1" x14ac:dyDescent="0.25">
      <c r="B21" s="106">
        <f t="shared" si="1"/>
        <v>2033</v>
      </c>
      <c r="C21" s="306">
        <f t="shared" si="0"/>
        <v>0</v>
      </c>
      <c r="D21" s="71">
        <f>C21*(1+0.07)^-($B21-'Global Assumptions'!$C$6)</f>
        <v>0</v>
      </c>
      <c r="E21" s="301">
        <f>IF($B21=$I$11,'H_Campbell Watermain_Costs'!$J$31,0)</f>
        <v>0</v>
      </c>
      <c r="F21" s="71">
        <f>E21*(1+0.07)^-($B21-'Global Assumptions'!$C$6)</f>
        <v>0</v>
      </c>
      <c r="H21" s="396" t="s">
        <v>30</v>
      </c>
      <c r="I21" s="396"/>
      <c r="J21" s="26">
        <f>SUM(J18:J20)</f>
        <v>2072330</v>
      </c>
      <c r="K21" s="75"/>
    </row>
    <row r="22" spans="2:11" ht="15.75" customHeight="1" x14ac:dyDescent="0.25">
      <c r="B22" s="106">
        <f t="shared" si="1"/>
        <v>2034</v>
      </c>
      <c r="C22" s="306">
        <f t="shared" si="0"/>
        <v>0</v>
      </c>
      <c r="D22" s="71">
        <f>C22*(1+0.07)^-($B22-'Global Assumptions'!$C$6)</f>
        <v>0</v>
      </c>
      <c r="E22" s="301">
        <f>IF($B22=$I$11,'H_Campbell Watermain_Costs'!$J$31,0)</f>
        <v>0</v>
      </c>
      <c r="F22" s="71">
        <f>E22*(1+0.07)^-($B22-'Global Assumptions'!$C$6)</f>
        <v>0</v>
      </c>
    </row>
    <row r="23" spans="2:11" ht="15.75" customHeight="1" x14ac:dyDescent="0.25">
      <c r="B23" s="106">
        <f t="shared" si="1"/>
        <v>2035</v>
      </c>
      <c r="C23" s="306">
        <f t="shared" si="0"/>
        <v>0</v>
      </c>
      <c r="D23" s="71">
        <f>C23*(1+0.07)^-($B23-'Global Assumptions'!$C$6)</f>
        <v>0</v>
      </c>
      <c r="E23" s="301">
        <f>IF($B23=$I$11,'H_Campbell Watermain_Costs'!$J$31,0)</f>
        <v>0</v>
      </c>
      <c r="F23" s="71">
        <f>E23*(1+0.07)^-($B23-'Global Assumptions'!$C$6)</f>
        <v>0</v>
      </c>
    </row>
    <row r="24" spans="2:11" ht="15.75" customHeight="1" x14ac:dyDescent="0.25">
      <c r="B24" s="106">
        <f t="shared" si="1"/>
        <v>2036</v>
      </c>
      <c r="C24" s="306">
        <f t="shared" si="0"/>
        <v>0</v>
      </c>
      <c r="D24" s="71">
        <f>C24*(1+0.07)^-($B24-'Global Assumptions'!$C$6)</f>
        <v>0</v>
      </c>
      <c r="E24" s="301">
        <f>IF($B24=$I$11,'H_Campbell Watermain_Costs'!$J$31,0)</f>
        <v>0</v>
      </c>
      <c r="F24" s="71">
        <f>E24*(1+0.07)^-($B24-'Global Assumptions'!$C$6)</f>
        <v>0</v>
      </c>
      <c r="H24" s="151" t="s">
        <v>49</v>
      </c>
      <c r="I24" s="7"/>
      <c r="J24" s="124"/>
      <c r="K24" s="22"/>
    </row>
    <row r="25" spans="2:11" ht="15.75" customHeight="1" x14ac:dyDescent="0.25">
      <c r="B25" s="106">
        <f t="shared" si="1"/>
        <v>2037</v>
      </c>
      <c r="C25" s="306">
        <f t="shared" si="0"/>
        <v>0</v>
      </c>
      <c r="D25" s="71">
        <f>C25*(1+0.07)^-($B25-'Global Assumptions'!$C$6)</f>
        <v>0</v>
      </c>
      <c r="E25" s="301">
        <f>IF($B25=$I$11,'H_Campbell Watermain_Costs'!$J$31,0)</f>
        <v>0</v>
      </c>
      <c r="F25" s="71">
        <f>E25*(1+0.07)^-($B25-'Global Assumptions'!$C$6)</f>
        <v>0</v>
      </c>
      <c r="H25" s="397" t="s">
        <v>4</v>
      </c>
      <c r="I25" s="400" t="s">
        <v>21</v>
      </c>
      <c r="J25" s="400" t="s">
        <v>22</v>
      </c>
      <c r="K25" s="76"/>
    </row>
    <row r="26" spans="2:11" ht="15.75" customHeight="1" x14ac:dyDescent="0.25">
      <c r="B26" s="106">
        <f t="shared" si="1"/>
        <v>2038</v>
      </c>
      <c r="C26" s="306">
        <f t="shared" si="0"/>
        <v>0</v>
      </c>
      <c r="D26" s="71">
        <f>C26*(1+0.07)^-($B26-'Global Assumptions'!$C$6)</f>
        <v>0</v>
      </c>
      <c r="E26" s="301">
        <f>IF($B26=$I$11,'H_Campbell Watermain_Costs'!$J$31,0)</f>
        <v>0</v>
      </c>
      <c r="F26" s="71">
        <f>E26*(1+0.07)^-($B26-'Global Assumptions'!$C$6)</f>
        <v>0</v>
      </c>
      <c r="H26" s="398"/>
      <c r="I26" s="401"/>
      <c r="J26" s="401"/>
      <c r="K26" s="76"/>
    </row>
    <row r="27" spans="2:11" ht="15.75" customHeight="1" x14ac:dyDescent="0.25">
      <c r="B27" s="106">
        <f t="shared" si="1"/>
        <v>2039</v>
      </c>
      <c r="C27" s="306">
        <f t="shared" si="0"/>
        <v>0</v>
      </c>
      <c r="D27" s="71">
        <f>C27*(1+0.07)^-($B27-'Global Assumptions'!$C$6)</f>
        <v>0</v>
      </c>
      <c r="E27" s="301">
        <f>IF($B27=$I$11,'H_Campbell Watermain_Costs'!$J$31,0)</f>
        <v>0</v>
      </c>
      <c r="F27" s="71">
        <f>E27*(1+0.07)^-($B27-'Global Assumptions'!$C$6)</f>
        <v>0</v>
      </c>
      <c r="H27" s="399"/>
      <c r="I27" s="402"/>
      <c r="J27" s="402"/>
      <c r="K27" s="76"/>
    </row>
    <row r="28" spans="2:11" ht="15.75" customHeight="1" x14ac:dyDescent="0.25">
      <c r="B28" s="106">
        <f t="shared" si="1"/>
        <v>2040</v>
      </c>
      <c r="C28" s="306">
        <f t="shared" si="0"/>
        <v>0</v>
      </c>
      <c r="D28" s="71">
        <f>C28*(1+0.07)^-($B28-'Global Assumptions'!$C$6)</f>
        <v>0</v>
      </c>
      <c r="E28" s="301">
        <f>IF($B28=$I$11,'H_Campbell Watermain_Costs'!$J$31,0)</f>
        <v>0</v>
      </c>
      <c r="F28" s="71">
        <f>E28*(1+0.07)^-($B28-'Global Assumptions'!$C$6)</f>
        <v>0</v>
      </c>
      <c r="H28" s="153" t="s">
        <v>265</v>
      </c>
      <c r="I28" s="78">
        <v>0.97801105954199297</v>
      </c>
      <c r="J28" s="79">
        <f>$I28*J18</f>
        <v>2026761.6590206583</v>
      </c>
      <c r="K28" s="77"/>
    </row>
    <row r="29" spans="2:11" ht="15.75" customHeight="1" x14ac:dyDescent="0.25">
      <c r="B29" s="106">
        <f t="shared" si="1"/>
        <v>2041</v>
      </c>
      <c r="C29" s="306">
        <f t="shared" si="0"/>
        <v>0</v>
      </c>
      <c r="D29" s="71">
        <f>C29*(1+0.07)^-($B29-'Global Assumptions'!$C$6)</f>
        <v>0</v>
      </c>
      <c r="E29" s="301">
        <f>IF($B29=$I$11,'H_Campbell Watermain_Costs'!$J$31,0)</f>
        <v>0</v>
      </c>
      <c r="F29" s="71">
        <f>E29*(1+0.07)^-($B29-'Global Assumptions'!$C$6)</f>
        <v>0</v>
      </c>
      <c r="H29" s="153"/>
      <c r="I29" s="78"/>
      <c r="J29" s="79"/>
      <c r="K29" s="77"/>
    </row>
    <row r="30" spans="2:11" ht="15.75" customHeight="1" x14ac:dyDescent="0.25">
      <c r="B30" s="106">
        <f t="shared" si="1"/>
        <v>2042</v>
      </c>
      <c r="C30" s="306">
        <f t="shared" si="0"/>
        <v>0</v>
      </c>
      <c r="D30" s="71">
        <f>C30*(1+0.07)^-($B30-'Global Assumptions'!$C$6)</f>
        <v>0</v>
      </c>
      <c r="E30" s="301">
        <f>IF($B30=$I$11,'H_Campbell Watermain_Costs'!$J$31,0)</f>
        <v>2026761.6590206583</v>
      </c>
      <c r="F30" s="71">
        <f>E30*(1+0.07)^-($B30-'Global Assumptions'!$C$6)</f>
        <v>427539.0552539794</v>
      </c>
      <c r="H30" s="153"/>
      <c r="I30" s="78"/>
      <c r="J30" s="79"/>
      <c r="K30" s="77"/>
    </row>
    <row r="31" spans="2:11" ht="15.75" customHeight="1" x14ac:dyDescent="0.25">
      <c r="B31" s="106">
        <f t="shared" si="1"/>
        <v>2043</v>
      </c>
      <c r="C31" s="306">
        <f t="shared" si="0"/>
        <v>0</v>
      </c>
      <c r="D31" s="71">
        <f>C31*(1+0.07)^-($B31-'Global Assumptions'!$C$6)</f>
        <v>0</v>
      </c>
      <c r="E31" s="301">
        <f>IF($B31=$I$11,'H_Campbell Watermain_Costs'!$J$31,0)</f>
        <v>0</v>
      </c>
      <c r="F31" s="71">
        <f>E31*(1+0.07)^-($B31-'Global Assumptions'!$C$6)</f>
        <v>0</v>
      </c>
      <c r="H31" s="388" t="s">
        <v>27</v>
      </c>
      <c r="I31" s="389"/>
      <c r="J31" s="27">
        <f>SUM(J28:J30)</f>
        <v>2026761.6590206583</v>
      </c>
      <c r="K31" s="75"/>
    </row>
    <row r="32" spans="2:11" ht="15.75" customHeight="1" x14ac:dyDescent="0.25">
      <c r="B32" s="106">
        <f t="shared" si="1"/>
        <v>2044</v>
      </c>
      <c r="C32" s="306">
        <f t="shared" si="0"/>
        <v>0</v>
      </c>
      <c r="D32" s="71">
        <f>C32*(1+0.07)^-($B32-'Global Assumptions'!$C$6)</f>
        <v>0</v>
      </c>
      <c r="E32" s="301">
        <f>IF($B32=$I$11,'H_Campbell Watermain_Costs'!$J$31,0)</f>
        <v>0</v>
      </c>
      <c r="F32" s="71">
        <f>E32*(1+0.07)^-($B32-'Global Assumptions'!$C$6)</f>
        <v>0</v>
      </c>
    </row>
    <row r="33" spans="1:9" ht="15.75" customHeight="1" x14ac:dyDescent="0.25">
      <c r="B33" s="106">
        <f t="shared" si="1"/>
        <v>2045</v>
      </c>
      <c r="C33" s="306">
        <f t="shared" si="0"/>
        <v>0</v>
      </c>
      <c r="D33" s="71">
        <f>C33*(1+0.07)^-($B33-'Global Assumptions'!$C$6)</f>
        <v>0</v>
      </c>
      <c r="E33" s="301">
        <f>IF($B33=$I$11,'H_Campbell Watermain_Costs'!$J$31,0)</f>
        <v>0</v>
      </c>
      <c r="F33" s="71">
        <f>E33*(1+0.07)^-($B33-'Global Assumptions'!$C$6)</f>
        <v>0</v>
      </c>
    </row>
    <row r="34" spans="1:9" ht="15.75" customHeight="1" x14ac:dyDescent="0.25">
      <c r="B34" s="106">
        <f t="shared" si="1"/>
        <v>2046</v>
      </c>
      <c r="C34" s="306">
        <f t="shared" si="0"/>
        <v>0</v>
      </c>
      <c r="D34" s="71">
        <f>C34*(1+0.07)^-($B34-'Global Assumptions'!$C$6)</f>
        <v>0</v>
      </c>
      <c r="E34" s="301">
        <f>IF($B34=$I$11,'H_Campbell Watermain_Costs'!$J$31,0)</f>
        <v>0</v>
      </c>
      <c r="F34" s="71">
        <f>E34*(1+0.07)^-($B34-'Global Assumptions'!$C$6)</f>
        <v>0</v>
      </c>
    </row>
    <row r="35" spans="1:9" ht="15.75" customHeight="1" x14ac:dyDescent="0.25">
      <c r="B35" s="106">
        <f t="shared" si="1"/>
        <v>2047</v>
      </c>
      <c r="C35" s="306">
        <f t="shared" si="0"/>
        <v>0</v>
      </c>
      <c r="D35" s="71">
        <f>C35*(1+0.07)^-($B35-'Global Assumptions'!$C$6)</f>
        <v>0</v>
      </c>
      <c r="E35" s="301">
        <f>IF($B35=$I$11,'H_Campbell Watermain_Costs'!$J$31,0)</f>
        <v>0</v>
      </c>
      <c r="F35" s="71">
        <f>E35*(1+0.07)^-($B35-'Global Assumptions'!$C$6)</f>
        <v>0</v>
      </c>
    </row>
    <row r="36" spans="1:9" ht="15.75" customHeight="1" x14ac:dyDescent="0.25">
      <c r="B36" s="106">
        <f t="shared" si="1"/>
        <v>2048</v>
      </c>
      <c r="C36" s="306">
        <f t="shared" si="0"/>
        <v>0</v>
      </c>
      <c r="D36" s="71">
        <f>C36*(1+0.07)^-($B36-'Global Assumptions'!$C$6)</f>
        <v>0</v>
      </c>
      <c r="E36" s="301">
        <f>IF($B36=$I$11,'H_Campbell Watermain_Costs'!$J$31,0)</f>
        <v>0</v>
      </c>
      <c r="F36" s="71">
        <f>E36*(1+0.07)^-($B36-'Global Assumptions'!$C$6)</f>
        <v>0</v>
      </c>
    </row>
    <row r="37" spans="1:9" ht="15.75" customHeight="1" x14ac:dyDescent="0.25">
      <c r="B37" s="106">
        <f t="shared" si="1"/>
        <v>2049</v>
      </c>
      <c r="C37" s="306">
        <f t="shared" si="0"/>
        <v>0</v>
      </c>
      <c r="D37" s="71">
        <f>C37*(1+0.07)^-($B37-'Global Assumptions'!$C$6)</f>
        <v>0</v>
      </c>
      <c r="E37" s="301">
        <f>IF($B37=$I$11,'H_Campbell Watermain_Costs'!$J$31,0)</f>
        <v>0</v>
      </c>
      <c r="F37" s="71">
        <f>E37*(1+0.07)^-($B37-'Global Assumptions'!$C$6)</f>
        <v>0</v>
      </c>
    </row>
    <row r="38" spans="1:9" ht="15.75" customHeight="1" x14ac:dyDescent="0.25">
      <c r="B38" s="106">
        <f t="shared" si="1"/>
        <v>2050</v>
      </c>
      <c r="C38" s="306">
        <f t="shared" si="0"/>
        <v>0</v>
      </c>
      <c r="D38" s="71">
        <f>C38*(1+0.07)^-($B38-'Global Assumptions'!$C$6)</f>
        <v>0</v>
      </c>
      <c r="E38" s="301">
        <f>IF($B38=$I$11,'H_Campbell Watermain_Costs'!$J$31,0)</f>
        <v>0</v>
      </c>
      <c r="F38" s="71">
        <f>E38*(1+0.07)^-($B38-'Global Assumptions'!$C$6)</f>
        <v>0</v>
      </c>
    </row>
    <row r="39" spans="1:9" ht="15.75" customHeight="1" x14ac:dyDescent="0.25">
      <c r="B39" s="106">
        <f t="shared" si="1"/>
        <v>2051</v>
      </c>
      <c r="C39" s="306">
        <f t="shared" si="0"/>
        <v>0</v>
      </c>
      <c r="D39" s="71">
        <f>C39*(1+0.07)^-($B39-'Global Assumptions'!$C$6)</f>
        <v>0</v>
      </c>
      <c r="E39" s="301">
        <f>IF($B39=$I$11,'H_Campbell Watermain_Costs'!$J$31,0)</f>
        <v>0</v>
      </c>
      <c r="F39" s="71">
        <f>E39*(1+0.07)^-($B39-'Global Assumptions'!$C$6)</f>
        <v>0</v>
      </c>
      <c r="G39" s="14"/>
    </row>
    <row r="40" spans="1:9" ht="15.75" customHeight="1" x14ac:dyDescent="0.25">
      <c r="B40" s="106">
        <f t="shared" si="1"/>
        <v>2052</v>
      </c>
      <c r="C40" s="306">
        <f t="shared" si="0"/>
        <v>0</v>
      </c>
      <c r="D40" s="71">
        <f>C40*(1+0.07)^-($B40-'Global Assumptions'!$C$6)</f>
        <v>0</v>
      </c>
      <c r="E40" s="301">
        <f>IF($B40=$I$11,'H_Campbell Watermain_Costs'!$J$31,0)</f>
        <v>0</v>
      </c>
      <c r="F40" s="71">
        <f>E40*(1+0.07)^-($B40-'Global Assumptions'!$C$6)</f>
        <v>0</v>
      </c>
    </row>
    <row r="41" spans="1:9" ht="15.75" customHeight="1" x14ac:dyDescent="0.25">
      <c r="B41" s="106">
        <f t="shared" si="1"/>
        <v>2053</v>
      </c>
      <c r="C41" s="306">
        <f t="shared" si="0"/>
        <v>0</v>
      </c>
      <c r="D41" s="71">
        <f>C41*(1+0.07)^-($B41-'Global Assumptions'!$C$6)</f>
        <v>0</v>
      </c>
      <c r="E41" s="301">
        <f>IF($B41=$I$11,'H_Campbell Watermain_Costs'!$J$31,0)</f>
        <v>0</v>
      </c>
      <c r="F41" s="71">
        <f>E41*(1+0.07)^-($B41-'Global Assumptions'!$C$6)</f>
        <v>0</v>
      </c>
    </row>
    <row r="42" spans="1:9" ht="15.75" customHeight="1" x14ac:dyDescent="0.25">
      <c r="B42" s="106">
        <f t="shared" si="1"/>
        <v>2054</v>
      </c>
      <c r="C42" s="306">
        <f t="shared" si="0"/>
        <v>0</v>
      </c>
      <c r="D42" s="71">
        <f>C42*(1+0.07)^-($B42-'Global Assumptions'!$C$6)</f>
        <v>0</v>
      </c>
      <c r="E42" s="301">
        <f>IF($B42=$I$11,'H_Campbell Watermain_Costs'!$J$31,0)</f>
        <v>0</v>
      </c>
      <c r="F42" s="71">
        <f>E42*(1+0.07)^-($B42-'Global Assumptions'!$C$6)</f>
        <v>0</v>
      </c>
    </row>
    <row r="43" spans="1:9" ht="15.75" customHeight="1" x14ac:dyDescent="0.25">
      <c r="A43" s="14"/>
      <c r="B43" s="106">
        <f t="shared" si="1"/>
        <v>2055</v>
      </c>
      <c r="C43" s="306">
        <f t="shared" si="0"/>
        <v>0</v>
      </c>
      <c r="D43" s="71">
        <f>C43*(1+0.07)^-($B43-'Global Assumptions'!$C$6)</f>
        <v>0</v>
      </c>
      <c r="E43" s="301">
        <f>IF($B43=$I$11,'H_Campbell Watermain_Costs'!$J$31,0)</f>
        <v>0</v>
      </c>
      <c r="F43" s="71">
        <f>E43*(1+0.07)^-($B43-'Global Assumptions'!$C$6)</f>
        <v>0</v>
      </c>
    </row>
    <row r="44" spans="1:9" ht="15.75" customHeight="1" thickBot="1" x14ac:dyDescent="0.3">
      <c r="B44" s="107">
        <f t="shared" si="1"/>
        <v>2056</v>
      </c>
      <c r="C44" s="307">
        <f t="shared" si="0"/>
        <v>0</v>
      </c>
      <c r="D44" s="72">
        <f>C44*(1+0.07)^-($B44-'Global Assumptions'!$C$6)</f>
        <v>0</v>
      </c>
      <c r="E44" s="311">
        <f>IF($B44=$I$11,'H_Campbell Watermain_Costs'!$J$31,0)</f>
        <v>0</v>
      </c>
      <c r="F44" s="72">
        <f>E44*(1+0.07)^-($B44-'Global Assumptions'!$C$6)</f>
        <v>0</v>
      </c>
    </row>
    <row r="45" spans="1:9" ht="15.75" customHeight="1" thickBot="1" x14ac:dyDescent="0.3">
      <c r="C45" s="126" t="s">
        <v>63</v>
      </c>
      <c r="D45" s="92">
        <f>SUM(D7:D44)</f>
        <v>1691638.579217219</v>
      </c>
      <c r="E45" s="126" t="s">
        <v>64</v>
      </c>
      <c r="F45" s="92">
        <f>SUM(F7:F44)</f>
        <v>427539.0552539794</v>
      </c>
    </row>
    <row r="46" spans="1:9" ht="15" customHeight="1" x14ac:dyDescent="0.25"/>
    <row r="48" spans="1:9" ht="15.75" thickBot="1" x14ac:dyDescent="0.3">
      <c r="B48" s="15" t="s">
        <v>3</v>
      </c>
      <c r="C48" s="14"/>
      <c r="D48" s="14"/>
      <c r="E48" s="14"/>
      <c r="F48" s="14"/>
      <c r="I48" s="151" t="s">
        <v>62</v>
      </c>
    </row>
    <row r="49" spans="1:10" ht="15.75" thickBot="1" x14ac:dyDescent="0.3">
      <c r="A49" s="96" t="s">
        <v>24</v>
      </c>
      <c r="B49" s="367" t="s">
        <v>285</v>
      </c>
      <c r="C49" s="367"/>
      <c r="D49" s="367"/>
      <c r="E49" s="367"/>
      <c r="F49" s="367"/>
      <c r="I49" s="11"/>
      <c r="J49" s="161" t="s">
        <v>39</v>
      </c>
    </row>
    <row r="50" spans="1:10" x14ac:dyDescent="0.25">
      <c r="B50" s="367"/>
      <c r="C50" s="367"/>
      <c r="D50" s="367"/>
      <c r="E50" s="367"/>
      <c r="F50" s="367"/>
      <c r="I50" s="12" t="s">
        <v>18</v>
      </c>
      <c r="J50" s="98">
        <f>'H_Campbell Watermain_Benefits'!G37+'H_Campbell Watermain_AQ Benefit'!E25+F45</f>
        <v>6021739.640158399</v>
      </c>
    </row>
    <row r="51" spans="1:10" ht="15" customHeight="1" thickBot="1" x14ac:dyDescent="0.3">
      <c r="B51" s="367"/>
      <c r="C51" s="367"/>
      <c r="D51" s="367"/>
      <c r="E51" s="367"/>
      <c r="F51" s="367"/>
      <c r="I51" s="13" t="s">
        <v>19</v>
      </c>
      <c r="J51" s="99">
        <f>D45</f>
        <v>1691638.579217219</v>
      </c>
    </row>
    <row r="52" spans="1:10" ht="15.75" thickTop="1" x14ac:dyDescent="0.25">
      <c r="B52" s="367"/>
      <c r="C52" s="367"/>
      <c r="D52" s="367"/>
      <c r="E52" s="367"/>
      <c r="F52" s="367"/>
      <c r="I52" s="87" t="s">
        <v>20</v>
      </c>
      <c r="J52" s="88">
        <f>+J50/J51</f>
        <v>3.5597081516932954</v>
      </c>
    </row>
    <row r="53" spans="1:10" ht="15.75" thickBot="1" x14ac:dyDescent="0.3">
      <c r="B53" s="367"/>
      <c r="C53" s="367"/>
      <c r="D53" s="367"/>
      <c r="E53" s="367"/>
      <c r="F53" s="367"/>
      <c r="I53" s="89" t="s">
        <v>50</v>
      </c>
      <c r="J53" s="90">
        <f>J50-J51</f>
        <v>4330101.0609411802</v>
      </c>
    </row>
    <row r="54" spans="1:10" x14ac:dyDescent="0.25">
      <c r="A54" s="96"/>
      <c r="B54" s="215"/>
      <c r="C54" s="215"/>
      <c r="D54" s="215"/>
      <c r="E54" s="215"/>
      <c r="F54" s="215"/>
    </row>
    <row r="55" spans="1:10" ht="15" customHeight="1" x14ac:dyDescent="0.25">
      <c r="A55" s="96" t="s">
        <v>23</v>
      </c>
      <c r="B55" s="367" t="s">
        <v>52</v>
      </c>
      <c r="C55" s="367"/>
      <c r="D55" s="367"/>
      <c r="E55" s="367"/>
      <c r="F55" s="367"/>
    </row>
    <row r="56" spans="1:10" x14ac:dyDescent="0.25">
      <c r="A56" s="50"/>
      <c r="B56" s="367"/>
      <c r="C56" s="367"/>
      <c r="D56" s="367"/>
      <c r="E56" s="367"/>
      <c r="F56" s="367"/>
    </row>
    <row r="57" spans="1:10" x14ac:dyDescent="0.25">
      <c r="A57" s="50"/>
      <c r="B57" s="367"/>
      <c r="C57" s="367"/>
      <c r="D57" s="367"/>
      <c r="E57" s="367"/>
      <c r="F57" s="367"/>
    </row>
    <row r="58" spans="1:10" x14ac:dyDescent="0.25">
      <c r="A58" s="96"/>
      <c r="B58" s="367"/>
      <c r="C58" s="367"/>
      <c r="D58" s="367"/>
      <c r="E58" s="367"/>
      <c r="F58" s="367"/>
    </row>
    <row r="59" spans="1:10" x14ac:dyDescent="0.25">
      <c r="B59" s="367"/>
      <c r="C59" s="367"/>
      <c r="D59" s="367"/>
      <c r="E59" s="367"/>
      <c r="F59" s="367"/>
    </row>
    <row r="60" spans="1:10" x14ac:dyDescent="0.25">
      <c r="B60" s="367"/>
      <c r="C60" s="367"/>
      <c r="D60" s="367"/>
      <c r="E60" s="367"/>
      <c r="F60" s="367"/>
    </row>
    <row r="61" spans="1:10" ht="15" customHeight="1" x14ac:dyDescent="0.25">
      <c r="A61" s="152"/>
      <c r="B61" s="367"/>
      <c r="C61" s="367"/>
      <c r="D61" s="367"/>
      <c r="E61" s="367"/>
      <c r="F61" s="367"/>
    </row>
    <row r="62" spans="1:10" x14ac:dyDescent="0.25">
      <c r="A62" s="50"/>
      <c r="B62" s="367"/>
      <c r="C62" s="367"/>
      <c r="D62" s="367"/>
      <c r="E62" s="367"/>
      <c r="F62" s="367"/>
    </row>
    <row r="63" spans="1:10" x14ac:dyDescent="0.25">
      <c r="B63" s="367"/>
      <c r="C63" s="367"/>
      <c r="D63" s="367"/>
      <c r="E63" s="367"/>
      <c r="F63" s="367"/>
    </row>
  </sheetData>
  <mergeCells count="15">
    <mergeCell ref="H31:I31"/>
    <mergeCell ref="B49:F53"/>
    <mergeCell ref="B55:F63"/>
    <mergeCell ref="I15:I17"/>
    <mergeCell ref="J15:J17"/>
    <mergeCell ref="H21:I21"/>
    <mergeCell ref="H25:H27"/>
    <mergeCell ref="I25:I27"/>
    <mergeCell ref="J25:J27"/>
    <mergeCell ref="H15:H17"/>
    <mergeCell ref="B5:B6"/>
    <mergeCell ref="C5:C6"/>
    <mergeCell ref="D5:D6"/>
    <mergeCell ref="E5:E6"/>
    <mergeCell ref="F5:F6"/>
  </mergeCells>
  <pageMargins left="0.25" right="0.25" top="0.75" bottom="0.75" header="0.3" footer="0.3"/>
  <pageSetup paperSize="119" scale="5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0" tint="-0.34998626667073579"/>
  </sheetPr>
  <dimension ref="B2:J14"/>
  <sheetViews>
    <sheetView workbookViewId="0">
      <selection activeCell="G6" sqref="G6"/>
    </sheetView>
  </sheetViews>
  <sheetFormatPr defaultRowHeight="15" x14ac:dyDescent="0.25"/>
  <cols>
    <col min="2" max="2" width="23.140625" bestFit="1" customWidth="1"/>
    <col min="3" max="3" width="4.42578125" customWidth="1"/>
    <col min="4" max="4" width="20.5703125" customWidth="1"/>
  </cols>
  <sheetData>
    <row r="2" spans="2:10" ht="15.75" thickBot="1" x14ac:dyDescent="0.3">
      <c r="B2" s="5" t="s">
        <v>6</v>
      </c>
      <c r="G2" s="5" t="s">
        <v>25</v>
      </c>
    </row>
    <row r="3" spans="2:10" x14ac:dyDescent="0.25">
      <c r="B3" s="29" t="s">
        <v>7</v>
      </c>
      <c r="C3" s="30" t="s">
        <v>8</v>
      </c>
      <c r="D3" s="31">
        <f>(1+G3)^G4</f>
        <v>3.8696844624861795</v>
      </c>
      <c r="F3" s="36" t="s">
        <v>14</v>
      </c>
      <c r="G3" s="44">
        <v>7.0000000000000007E-2</v>
      </c>
      <c r="I3" t="s">
        <v>9</v>
      </c>
    </row>
    <row r="4" spans="2:10" x14ac:dyDescent="0.25">
      <c r="B4" s="32" t="s">
        <v>10</v>
      </c>
      <c r="C4" s="23" t="s">
        <v>8</v>
      </c>
      <c r="D4" s="33">
        <f>((1+G3)^G5-1)/(G3*(1+G3)^G5)</f>
        <v>11.65358317825372</v>
      </c>
      <c r="F4" s="37" t="s">
        <v>15</v>
      </c>
      <c r="G4" s="45">
        <v>20</v>
      </c>
      <c r="I4" t="s">
        <v>11</v>
      </c>
    </row>
    <row r="5" spans="2:10" ht="15.75" thickBot="1" x14ac:dyDescent="0.3">
      <c r="B5" s="34" t="s">
        <v>12</v>
      </c>
      <c r="C5" s="25" t="s">
        <v>8</v>
      </c>
      <c r="D5" s="35">
        <f>((1+G3)^G4-1)/(G3*(1+G3)^G4)</f>
        <v>10.59401424551616</v>
      </c>
      <c r="F5" s="38" t="s">
        <v>16</v>
      </c>
      <c r="G5" s="46">
        <v>25</v>
      </c>
      <c r="I5" t="s">
        <v>13</v>
      </c>
    </row>
    <row r="6" spans="2:10" ht="15.75" thickBot="1" x14ac:dyDescent="0.3">
      <c r="F6" s="39" t="s">
        <v>17</v>
      </c>
      <c r="G6" s="40">
        <f>D3*(D4-D5)/D4</f>
        <v>0.35184006268551071</v>
      </c>
    </row>
    <row r="9" spans="2:10" x14ac:dyDescent="0.25">
      <c r="E9">
        <v>3</v>
      </c>
      <c r="F9" t="s">
        <v>61</v>
      </c>
      <c r="G9" t="s">
        <v>60</v>
      </c>
      <c r="J9" t="s">
        <v>90</v>
      </c>
    </row>
    <row r="10" spans="2:10" x14ac:dyDescent="0.25">
      <c r="D10">
        <v>100</v>
      </c>
      <c r="E10" s="61">
        <v>0.95575347064936278</v>
      </c>
      <c r="F10" s="61">
        <v>0.99668901533542642</v>
      </c>
      <c r="G10">
        <v>0.99237091208782646</v>
      </c>
      <c r="I10">
        <v>60</v>
      </c>
      <c r="J10">
        <v>0.97801105954199252</v>
      </c>
    </row>
    <row r="11" spans="2:10" x14ac:dyDescent="0.25">
      <c r="D11">
        <v>60</v>
      </c>
      <c r="E11" s="61">
        <v>0.83520510198329501</v>
      </c>
      <c r="F11" s="61">
        <v>0.94960729545289124</v>
      </c>
      <c r="G11">
        <v>0.88388639269896585</v>
      </c>
      <c r="I11">
        <v>25</v>
      </c>
      <c r="J11">
        <v>0.71717433313088952</v>
      </c>
    </row>
    <row r="12" spans="2:10" x14ac:dyDescent="0.25">
      <c r="D12">
        <v>50</v>
      </c>
      <c r="E12" s="61">
        <v>0.76178084432220416</v>
      </c>
      <c r="F12" s="61">
        <v>0.89915725708762961</v>
      </c>
      <c r="G12">
        <v>0.76764067825056037</v>
      </c>
      <c r="I12">
        <v>12</v>
      </c>
      <c r="J12">
        <v>0</v>
      </c>
    </row>
    <row r="13" spans="2:10" x14ac:dyDescent="0.25">
      <c r="D13">
        <v>40</v>
      </c>
      <c r="E13" s="61">
        <v>0.6436349394688875</v>
      </c>
      <c r="F13" s="61">
        <v>0.79464788577092815</v>
      </c>
      <c r="G13">
        <v>0.52683280319393944</v>
      </c>
    </row>
    <row r="14" spans="2:10" x14ac:dyDescent="0.25">
      <c r="D14">
        <v>25</v>
      </c>
      <c r="E14" s="61">
        <v>0.26300283374317435</v>
      </c>
      <c r="F14" s="61">
        <v>0.35184006268551071</v>
      </c>
      <c r="G14">
        <v>0</v>
      </c>
    </row>
  </sheetData>
  <pageMargins left="0.7" right="0.7" top="0.75" bottom="0.75" header="0.3" footer="0.3"/>
  <pageSetup paperSize="119"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F561-442B-4B0C-BCDC-0E12801A0BD5}">
  <sheetPr>
    <tabColor rgb="FF00B050"/>
    <pageSetUpPr fitToPage="1"/>
  </sheetPr>
  <dimension ref="A1:AF59"/>
  <sheetViews>
    <sheetView view="pageBreakPreview" zoomScale="85" zoomScaleNormal="85" zoomScaleSheetLayoutView="85" workbookViewId="0">
      <selection activeCell="I16" sqref="I16"/>
    </sheetView>
  </sheetViews>
  <sheetFormatPr defaultColWidth="9.140625" defaultRowHeight="15" x14ac:dyDescent="0.25"/>
  <cols>
    <col min="1" max="1" width="3.7109375" style="100" customWidth="1"/>
    <col min="2" max="9" width="15.7109375" style="100" customWidth="1"/>
    <col min="10" max="10" width="5.7109375" style="100" customWidth="1"/>
    <col min="11" max="11" width="49.85546875" style="100" customWidth="1"/>
    <col min="12" max="12" width="15.5703125" style="100" customWidth="1"/>
    <col min="13" max="13" width="11.42578125" style="100" customWidth="1"/>
    <col min="14" max="16384" width="9.140625" style="100"/>
  </cols>
  <sheetData>
    <row r="1" spans="1:17" x14ac:dyDescent="0.25">
      <c r="A1" s="14"/>
      <c r="B1" s="14">
        <v>1</v>
      </c>
      <c r="C1" s="14"/>
      <c r="D1" s="14"/>
      <c r="E1" s="14"/>
      <c r="F1" s="14"/>
      <c r="G1" s="14"/>
      <c r="H1" s="14">
        <f>D1+1</f>
        <v>1</v>
      </c>
      <c r="I1" s="14">
        <f t="shared" ref="I1" si="0">H1+1</f>
        <v>2</v>
      </c>
    </row>
    <row r="2" spans="1:17" x14ac:dyDescent="0.25">
      <c r="B2" s="101"/>
    </row>
    <row r="3" spans="1:17" x14ac:dyDescent="0.25">
      <c r="B3" s="101"/>
    </row>
    <row r="4" spans="1:17" ht="15.75" thickBot="1" x14ac:dyDescent="0.3">
      <c r="C4" s="113"/>
      <c r="D4" s="113"/>
      <c r="E4" s="113"/>
      <c r="F4" s="113"/>
      <c r="G4" s="113"/>
      <c r="H4" s="113"/>
      <c r="I4" s="113"/>
      <c r="L4" s="56"/>
    </row>
    <row r="5" spans="1:17" ht="35.1" customHeight="1" x14ac:dyDescent="0.25">
      <c r="B5" s="372" t="s">
        <v>0</v>
      </c>
      <c r="C5" s="374" t="s">
        <v>68</v>
      </c>
      <c r="D5" s="374" t="s">
        <v>311</v>
      </c>
      <c r="E5" s="370" t="s">
        <v>130</v>
      </c>
      <c r="F5" s="376" t="s">
        <v>86</v>
      </c>
      <c r="G5" s="370" t="s">
        <v>91</v>
      </c>
      <c r="H5" s="376" t="s">
        <v>2</v>
      </c>
      <c r="I5" s="378" t="s">
        <v>1</v>
      </c>
      <c r="K5" s="56"/>
      <c r="M5" s="20"/>
    </row>
    <row r="6" spans="1:17" ht="43.5" customHeight="1" thickBot="1" x14ac:dyDescent="0.3">
      <c r="B6" s="373"/>
      <c r="C6" s="375"/>
      <c r="D6" s="375"/>
      <c r="E6" s="371"/>
      <c r="F6" s="377"/>
      <c r="G6" s="371"/>
      <c r="H6" s="377"/>
      <c r="I6" s="379"/>
      <c r="K6" s="368" t="s">
        <v>135</v>
      </c>
      <c r="L6" s="368"/>
    </row>
    <row r="7" spans="1:17" ht="18" customHeight="1" x14ac:dyDescent="0.25">
      <c r="B7" s="1">
        <f>'A_Harbor Improvements_Costs'!I10</f>
        <v>2023</v>
      </c>
      <c r="C7" s="115">
        <f>IF($B7&gt;'A_Harbor Improvements_Costs'!$I$11,0,$L$7*$L$11)</f>
        <v>7700</v>
      </c>
      <c r="D7" s="115">
        <f>IF($B7&gt;'A_Harbor Improvements_Costs'!$I$11,0,$L$14)</f>
        <v>180000</v>
      </c>
      <c r="E7" s="116">
        <f>IF($B7&gt;'A_Harbor Improvements_Costs'!$I$11,0,$L$21+$L$22)</f>
        <v>137784</v>
      </c>
      <c r="F7" s="132">
        <f>IF($B7&gt;'A_Harbor Improvements_Costs'!$I$11,0,-10000)</f>
        <v>-10000</v>
      </c>
      <c r="G7" s="133">
        <f>IF($B7&gt;'A_Harbor Improvements_Costs'!$I$11,0,-5000)</f>
        <v>-5000</v>
      </c>
      <c r="H7" s="80">
        <f t="shared" ref="H7:H36" si="1">SUM(C7:G7)</f>
        <v>310484</v>
      </c>
      <c r="I7" s="83">
        <f>H7*(1+0.05)^-($B7-'Global Assumptions'!$C$6)</f>
        <v>255435.95518328267</v>
      </c>
      <c r="K7" s="59" t="s">
        <v>40</v>
      </c>
      <c r="L7" s="60">
        <v>30.8</v>
      </c>
      <c r="M7" s="18"/>
    </row>
    <row r="8" spans="1:17" x14ac:dyDescent="0.25">
      <c r="B8" s="2">
        <f>B7+1</f>
        <v>2024</v>
      </c>
      <c r="C8" s="118">
        <f>IF($B8&gt;'A_Harbor Improvements_Costs'!$I$11,0,$L$7*$L$11)</f>
        <v>7700</v>
      </c>
      <c r="D8" s="118">
        <f>IF($B8&gt;'A_Harbor Improvements_Costs'!$I$11,0,$L$14)</f>
        <v>180000</v>
      </c>
      <c r="E8" s="119">
        <f>IF($B8&gt;'A_Harbor Improvements_Costs'!$I$11,0,$L$21+$L$22)</f>
        <v>137784</v>
      </c>
      <c r="F8" s="134">
        <f>IF($B8&gt;'A_Harbor Improvements_Costs'!$I$11,0,-10000)</f>
        <v>-10000</v>
      </c>
      <c r="G8" s="135">
        <f>IF($B8&gt;'A_Harbor Improvements_Costs'!$I$11,0,-5000)</f>
        <v>-5000</v>
      </c>
      <c r="H8" s="81">
        <f t="shared" si="1"/>
        <v>310484</v>
      </c>
      <c r="I8" s="84">
        <f>H8*(1+0.07)^-($B8-'Global Assumptions'!$C$6)</f>
        <v>221370.80095080729</v>
      </c>
      <c r="J8" s="57"/>
      <c r="K8" s="59" t="s">
        <v>58</v>
      </c>
      <c r="L8" s="60">
        <v>49.4</v>
      </c>
      <c r="M8" s="18"/>
    </row>
    <row r="9" spans="1:17" x14ac:dyDescent="0.25">
      <c r="B9" s="2">
        <f t="shared" ref="B9:B36" si="2">B8+1</f>
        <v>2025</v>
      </c>
      <c r="C9" s="118">
        <f>IF($B9&gt;'A_Harbor Improvements_Costs'!$I$11,0,$L$7*$L$11)</f>
        <v>7700</v>
      </c>
      <c r="D9" s="118">
        <f>IF($B9&gt;'A_Harbor Improvements_Costs'!$I$11,0,$L$14)</f>
        <v>180000</v>
      </c>
      <c r="E9" s="119">
        <f>IF($B9&gt;'A_Harbor Improvements_Costs'!$I$11,0,$L$21+$L$22)</f>
        <v>137784</v>
      </c>
      <c r="F9" s="134">
        <f>IF($B9&gt;'A_Harbor Improvements_Costs'!$I$11,0,-10000)</f>
        <v>-10000</v>
      </c>
      <c r="G9" s="135">
        <f>IF($B9&gt;'A_Harbor Improvements_Costs'!$I$11,0,-5000)</f>
        <v>-5000</v>
      </c>
      <c r="H9" s="81">
        <f t="shared" si="1"/>
        <v>310484</v>
      </c>
      <c r="I9" s="84">
        <f>H9*(1+0.07)^-($B9-'Global Assumptions'!$C$6)</f>
        <v>206888.59901944609</v>
      </c>
      <c r="K9" s="53"/>
      <c r="L9" s="55"/>
      <c r="M9" s="54"/>
    </row>
    <row r="10" spans="1:17" ht="17.25" x14ac:dyDescent="0.25">
      <c r="B10" s="2">
        <f t="shared" si="2"/>
        <v>2026</v>
      </c>
      <c r="C10" s="118">
        <f>IF($B10&gt;'A_Harbor Improvements_Costs'!$I$11,0,$L$7*$L$11)</f>
        <v>7700</v>
      </c>
      <c r="D10" s="118">
        <f>IF($B10&gt;'A_Harbor Improvements_Costs'!$I$11,0,$L$14)</f>
        <v>180000</v>
      </c>
      <c r="E10" s="119">
        <f>IF($B10&gt;'A_Harbor Improvements_Costs'!$I$11,0,$L$21+$L$22)</f>
        <v>137784</v>
      </c>
      <c r="F10" s="134">
        <f>IF($B10&gt;'A_Harbor Improvements_Costs'!$I$11,0,-10000)</f>
        <v>-10000</v>
      </c>
      <c r="G10" s="135">
        <f>IF($B10&gt;'A_Harbor Improvements_Costs'!$I$11,0,-5000)</f>
        <v>-5000</v>
      </c>
      <c r="H10" s="81">
        <f t="shared" si="1"/>
        <v>310484</v>
      </c>
      <c r="I10" s="84">
        <f>H10*(1+0.07)^-($B10-'Global Assumptions'!$C$6)</f>
        <v>193353.83085929538</v>
      </c>
      <c r="K10" s="110" t="s">
        <v>314</v>
      </c>
    </row>
    <row r="11" spans="1:17" x14ac:dyDescent="0.25">
      <c r="B11" s="2">
        <f t="shared" si="2"/>
        <v>2027</v>
      </c>
      <c r="C11" s="118">
        <f>IF($B11&gt;'A_Harbor Improvements_Costs'!$I$11,0,$L$7*$L$11)</f>
        <v>7700</v>
      </c>
      <c r="D11" s="118">
        <f>IF($B11&gt;'A_Harbor Improvements_Costs'!$I$11,0,$L$14)</f>
        <v>180000</v>
      </c>
      <c r="E11" s="119">
        <f>IF($B11&gt;'A_Harbor Improvements_Costs'!$I$11,0,$L$21+$L$22)</f>
        <v>137784</v>
      </c>
      <c r="F11" s="134">
        <f>IF($B11&gt;'A_Harbor Improvements_Costs'!$I$11,0,-10000)</f>
        <v>-10000</v>
      </c>
      <c r="G11" s="135">
        <f>IF($B11&gt;'A_Harbor Improvements_Costs'!$I$11,0,-5000)</f>
        <v>-5000</v>
      </c>
      <c r="H11" s="81">
        <f t="shared" si="1"/>
        <v>310484</v>
      </c>
      <c r="I11" s="84">
        <f>H11*(1+0.07)^-($B11-'Global Assumptions'!$C$6)</f>
        <v>180704.51482177139</v>
      </c>
      <c r="K11" s="69" t="s">
        <v>67</v>
      </c>
      <c r="L11" s="299">
        <v>250</v>
      </c>
      <c r="Q11" s="127"/>
    </row>
    <row r="12" spans="1:17" x14ac:dyDescent="0.25">
      <c r="B12" s="2">
        <f t="shared" si="2"/>
        <v>2028</v>
      </c>
      <c r="C12" s="118">
        <f>IF($B12&gt;'A_Harbor Improvements_Costs'!$I$11,0,$L$7*$L$11)</f>
        <v>7700</v>
      </c>
      <c r="D12" s="118">
        <f>IF($B12&gt;'A_Harbor Improvements_Costs'!$I$11,0,$L$14)</f>
        <v>180000</v>
      </c>
      <c r="E12" s="119">
        <f>IF($B12&gt;'A_Harbor Improvements_Costs'!$I$11,0,$L$21+$L$22)</f>
        <v>137784</v>
      </c>
      <c r="F12" s="134">
        <f>IF($B12&gt;'A_Harbor Improvements_Costs'!$I$11,0,-10000)</f>
        <v>-10000</v>
      </c>
      <c r="G12" s="135">
        <f>IF($B12&gt;'A_Harbor Improvements_Costs'!$I$11,0,-5000)</f>
        <v>-5000</v>
      </c>
      <c r="H12" s="81">
        <f t="shared" si="1"/>
        <v>310484</v>
      </c>
      <c r="I12" s="84">
        <f>H12*(1+0.07)^-($B12-'Global Assumptions'!$C$6)</f>
        <v>168882.72413249663</v>
      </c>
    </row>
    <row r="13" spans="1:17" x14ac:dyDescent="0.25">
      <c r="B13" s="2">
        <f t="shared" si="2"/>
        <v>2029</v>
      </c>
      <c r="C13" s="118">
        <f>IF($B13&gt;'A_Harbor Improvements_Costs'!$I$11,0,$L$7*$L$11)</f>
        <v>7700</v>
      </c>
      <c r="D13" s="118">
        <f>IF($B13&gt;'A_Harbor Improvements_Costs'!$I$11,0,$L$14)</f>
        <v>180000</v>
      </c>
      <c r="E13" s="119">
        <f>IF($B13&gt;'A_Harbor Improvements_Costs'!$I$11,0,$L$21+$L$22)</f>
        <v>137784</v>
      </c>
      <c r="F13" s="134">
        <f>IF($B13&gt;'A_Harbor Improvements_Costs'!$I$11,0,-10000)</f>
        <v>-10000</v>
      </c>
      <c r="G13" s="135">
        <f>IF($B13&gt;'A_Harbor Improvements_Costs'!$I$11,0,-5000)</f>
        <v>-5000</v>
      </c>
      <c r="H13" s="81">
        <f t="shared" si="1"/>
        <v>310484</v>
      </c>
      <c r="I13" s="84">
        <f>H13*(1+0.07)^-($B13-'Global Assumptions'!$C$6)</f>
        <v>157834.32161915573</v>
      </c>
      <c r="K13" s="128" t="s">
        <v>315</v>
      </c>
      <c r="M13" s="175"/>
    </row>
    <row r="14" spans="1:17" ht="15" customHeight="1" x14ac:dyDescent="0.25">
      <c r="B14" s="2">
        <f t="shared" si="2"/>
        <v>2030</v>
      </c>
      <c r="C14" s="118">
        <f>IF($B14&gt;'A_Harbor Improvements_Costs'!$I$11,0,$L$7*$L$11)</f>
        <v>7700</v>
      </c>
      <c r="D14" s="118">
        <f>IF($B14&gt;'A_Harbor Improvements_Costs'!$I$11,0,$L$14)</f>
        <v>180000</v>
      </c>
      <c r="E14" s="119">
        <f>IF($B14&gt;'A_Harbor Improvements_Costs'!$I$11,0,$L$21+$L$22)</f>
        <v>137784</v>
      </c>
      <c r="F14" s="134">
        <f>IF($B14&gt;'A_Harbor Improvements_Costs'!$I$11,0,-10000)</f>
        <v>-10000</v>
      </c>
      <c r="G14" s="135">
        <f>IF($B14&gt;'A_Harbor Improvements_Costs'!$I$11,0,-5000)</f>
        <v>-5000</v>
      </c>
      <c r="H14" s="81">
        <f t="shared" si="1"/>
        <v>310484</v>
      </c>
      <c r="I14" s="84">
        <f>H14*(1+0.07)^-($B14-'Global Assumptions'!$C$6)</f>
        <v>147508.71179360346</v>
      </c>
      <c r="K14" s="160" t="s">
        <v>312</v>
      </c>
      <c r="L14" s="82">
        <v>180000</v>
      </c>
      <c r="O14" s="66"/>
    </row>
    <row r="15" spans="1:17" x14ac:dyDescent="0.25">
      <c r="B15" s="2">
        <f t="shared" si="2"/>
        <v>2031</v>
      </c>
      <c r="C15" s="118">
        <f>IF($B15&gt;'A_Harbor Improvements_Costs'!$I$11,0,$L$7*$L$11)</f>
        <v>7700</v>
      </c>
      <c r="D15" s="118">
        <f>IF($B15&gt;'A_Harbor Improvements_Costs'!$I$11,0,$L$14)</f>
        <v>180000</v>
      </c>
      <c r="E15" s="119">
        <f>IF($B15&gt;'A_Harbor Improvements_Costs'!$I$11,0,$L$21+$L$22)</f>
        <v>137784</v>
      </c>
      <c r="F15" s="134">
        <f>IF($B15&gt;'A_Harbor Improvements_Costs'!$I$11,0,-10000)</f>
        <v>-10000</v>
      </c>
      <c r="G15" s="135">
        <f>IF($B15&gt;'A_Harbor Improvements_Costs'!$I$11,0,-5000)</f>
        <v>-5000</v>
      </c>
      <c r="H15" s="81">
        <f t="shared" si="1"/>
        <v>310484</v>
      </c>
      <c r="I15" s="84">
        <f>H15*(1+0.07)^-($B15-'Global Assumptions'!$C$6)</f>
        <v>137858.60915290046</v>
      </c>
    </row>
    <row r="16" spans="1:17" ht="17.25" x14ac:dyDescent="0.25">
      <c r="B16" s="2">
        <f t="shared" si="2"/>
        <v>2032</v>
      </c>
      <c r="C16" s="118">
        <f>IF($B16&gt;'A_Harbor Improvements_Costs'!$I$11,0,$L$7*$L$11)</f>
        <v>7700</v>
      </c>
      <c r="D16" s="118">
        <f>IF($B16&gt;'A_Harbor Improvements_Costs'!$I$11,0,$L$14)</f>
        <v>180000</v>
      </c>
      <c r="E16" s="119">
        <f>IF($B16&gt;'A_Harbor Improvements_Costs'!$I$11,0,$L$21+$L$22)</f>
        <v>137784</v>
      </c>
      <c r="F16" s="134">
        <f>IF($B16&gt;'A_Harbor Improvements_Costs'!$I$11,0,-10000)</f>
        <v>-10000</v>
      </c>
      <c r="G16" s="135">
        <f>IF($B16&gt;'A_Harbor Improvements_Costs'!$I$11,0,-5000)</f>
        <v>-5000</v>
      </c>
      <c r="H16" s="81">
        <f t="shared" si="1"/>
        <v>310484</v>
      </c>
      <c r="I16" s="84">
        <f>H16*(1+0.07)^-($B16-'Global Assumptions'!$C$6)</f>
        <v>128839.8216382247</v>
      </c>
      <c r="K16" s="151" t="s">
        <v>316</v>
      </c>
    </row>
    <row r="17" spans="2:13" x14ac:dyDescent="0.25">
      <c r="B17" s="2">
        <f t="shared" si="2"/>
        <v>2033</v>
      </c>
      <c r="C17" s="118">
        <f>IF($B17&gt;'A_Harbor Improvements_Costs'!$I$11,0,$L$7*$L$11)</f>
        <v>7700</v>
      </c>
      <c r="D17" s="118">
        <f>IF($B17&gt;'A_Harbor Improvements_Costs'!$I$11,0,$L$14)</f>
        <v>180000</v>
      </c>
      <c r="E17" s="119">
        <f>IF($B17&gt;'A_Harbor Improvements_Costs'!$I$11,0,$L$21+$L$22)</f>
        <v>137784</v>
      </c>
      <c r="F17" s="134">
        <f>IF($B17&gt;'A_Harbor Improvements_Costs'!$I$11,0,-10000)</f>
        <v>-10000</v>
      </c>
      <c r="G17" s="135">
        <f>IF($B17&gt;'A_Harbor Improvements_Costs'!$I$11,0,-5000)</f>
        <v>-5000</v>
      </c>
      <c r="H17" s="81">
        <f t="shared" si="1"/>
        <v>310484</v>
      </c>
      <c r="I17" s="84">
        <f>H17*(1+0.07)^-($B17-'Global Assumptions'!$C$6)</f>
        <v>120411.0482600231</v>
      </c>
      <c r="K17" s="160" t="s">
        <v>77</v>
      </c>
      <c r="L17" s="160">
        <v>40</v>
      </c>
    </row>
    <row r="18" spans="2:13" x14ac:dyDescent="0.25">
      <c r="B18" s="2">
        <f t="shared" si="2"/>
        <v>2034</v>
      </c>
      <c r="C18" s="118">
        <f>IF($B18&gt;'A_Harbor Improvements_Costs'!$I$11,0,$L$7*$L$11)</f>
        <v>7700</v>
      </c>
      <c r="D18" s="118">
        <f>IF($B18&gt;'A_Harbor Improvements_Costs'!$I$11,0,$L$14)</f>
        <v>180000</v>
      </c>
      <c r="E18" s="119">
        <f>IF($B18&gt;'A_Harbor Improvements_Costs'!$I$11,0,$L$21+$L$22)</f>
        <v>137784</v>
      </c>
      <c r="F18" s="134">
        <f>IF($B18&gt;'A_Harbor Improvements_Costs'!$I$11,0,-10000)</f>
        <v>-10000</v>
      </c>
      <c r="G18" s="135">
        <f>IF($B18&gt;'A_Harbor Improvements_Costs'!$I$11,0,-5000)</f>
        <v>-5000</v>
      </c>
      <c r="H18" s="81">
        <f t="shared" si="1"/>
        <v>310484</v>
      </c>
      <c r="I18" s="84">
        <f>H18*(1+0.07)^-($B18-'Global Assumptions'!$C$6)</f>
        <v>112533.6899626384</v>
      </c>
      <c r="K18" s="160" t="s">
        <v>78</v>
      </c>
      <c r="L18" s="160">
        <v>3</v>
      </c>
    </row>
    <row r="19" spans="2:13" x14ac:dyDescent="0.25">
      <c r="B19" s="2">
        <f t="shared" si="2"/>
        <v>2035</v>
      </c>
      <c r="C19" s="118">
        <f>IF($B19&gt;'A_Harbor Improvements_Costs'!$I$11,0,$L$7*$L$11)</f>
        <v>0</v>
      </c>
      <c r="D19" s="118">
        <f>IF($B19&gt;'A_Harbor Improvements_Costs'!$I$11,0,$L$14)</f>
        <v>0</v>
      </c>
      <c r="E19" s="119">
        <f>IF($B19&gt;'A_Harbor Improvements_Costs'!$I$11,0,$L$21+$L$22)</f>
        <v>0</v>
      </c>
      <c r="F19" s="134">
        <f>IF($B19&gt;'A_Harbor Improvements_Costs'!$I$11,0,-10000)</f>
        <v>0</v>
      </c>
      <c r="G19" s="135">
        <f>IF($B19&gt;'A_Harbor Improvements_Costs'!$I$11,0,-5000)</f>
        <v>0</v>
      </c>
      <c r="H19" s="81">
        <f t="shared" si="1"/>
        <v>0</v>
      </c>
      <c r="I19" s="84">
        <f>H19*(1+0.07)^-($B19-'Global Assumptions'!$C$6)</f>
        <v>0</v>
      </c>
      <c r="K19" s="160" t="s">
        <v>79</v>
      </c>
      <c r="L19" s="82">
        <v>500</v>
      </c>
    </row>
    <row r="20" spans="2:13" x14ac:dyDescent="0.25">
      <c r="B20" s="2">
        <f t="shared" si="2"/>
        <v>2036</v>
      </c>
      <c r="C20" s="118">
        <f>IF($B20&gt;'A_Harbor Improvements_Costs'!$I$11,0,$L$7*$L$11)</f>
        <v>0</v>
      </c>
      <c r="D20" s="118">
        <f>IF($B20&gt;'A_Harbor Improvements_Costs'!$I$11,0,$L$14)</f>
        <v>0</v>
      </c>
      <c r="E20" s="119">
        <f>IF($B20&gt;'A_Harbor Improvements_Costs'!$I$11,0,$L$21+$L$22)</f>
        <v>0</v>
      </c>
      <c r="F20" s="134">
        <f>IF($B20&gt;'A_Harbor Improvements_Costs'!$I$11,0,-10000)</f>
        <v>0</v>
      </c>
      <c r="G20" s="135">
        <f>IF($B20&gt;'A_Harbor Improvements_Costs'!$I$11,0,-5000)</f>
        <v>0</v>
      </c>
      <c r="H20" s="81">
        <f t="shared" si="1"/>
        <v>0</v>
      </c>
      <c r="I20" s="84">
        <f>H20*(1+0.07)^-($B20-'Global Assumptions'!$C$6)</f>
        <v>0</v>
      </c>
      <c r="K20" s="160" t="s">
        <v>82</v>
      </c>
      <c r="L20" s="160">
        <v>2</v>
      </c>
    </row>
    <row r="21" spans="2:13" x14ac:dyDescent="0.25">
      <c r="B21" s="2">
        <f t="shared" si="2"/>
        <v>2037</v>
      </c>
      <c r="C21" s="118">
        <f>IF($B21&gt;'A_Harbor Improvements_Costs'!$I$11,0,$L$7*$L$11)</f>
        <v>0</v>
      </c>
      <c r="D21" s="118">
        <f>IF($B21&gt;'A_Harbor Improvements_Costs'!$I$11,0,$L$14)</f>
        <v>0</v>
      </c>
      <c r="E21" s="119">
        <f>IF($B21&gt;'A_Harbor Improvements_Costs'!$I$11,0,$L$21+$L$22)</f>
        <v>0</v>
      </c>
      <c r="F21" s="134">
        <f>IF($B21&gt;'A_Harbor Improvements_Costs'!$I$11,0,-10000)</f>
        <v>0</v>
      </c>
      <c r="G21" s="135">
        <f>IF($B21&gt;'A_Harbor Improvements_Costs'!$I$11,0,-5000)</f>
        <v>0</v>
      </c>
      <c r="H21" s="81">
        <f t="shared" si="1"/>
        <v>0</v>
      </c>
      <c r="I21" s="84">
        <f>H21*(1+0.07)^-($B21-'Global Assumptions'!$C$6)</f>
        <v>0</v>
      </c>
      <c r="K21" s="160" t="s">
        <v>80</v>
      </c>
      <c r="L21" s="82">
        <f>3*$L$18*$L$17*$L$8</f>
        <v>17784</v>
      </c>
    </row>
    <row r="22" spans="2:13" x14ac:dyDescent="0.25">
      <c r="B22" s="2">
        <f t="shared" si="2"/>
        <v>2038</v>
      </c>
      <c r="C22" s="118">
        <f>IF($B22&gt;'A_Harbor Improvements_Costs'!$I$11,0,$L$7*$L$11)</f>
        <v>0</v>
      </c>
      <c r="D22" s="118">
        <f>IF($B22&gt;'A_Harbor Improvements_Costs'!$I$11,0,$L$14)</f>
        <v>0</v>
      </c>
      <c r="E22" s="119">
        <f>IF($B22&gt;'A_Harbor Improvements_Costs'!$I$11,0,$L$21+$L$22)</f>
        <v>0</v>
      </c>
      <c r="F22" s="134">
        <f>IF($B22&gt;'A_Harbor Improvements_Costs'!$I$11,0,-10000)</f>
        <v>0</v>
      </c>
      <c r="G22" s="135">
        <f>IF($B22&gt;'A_Harbor Improvements_Costs'!$I$11,0,-5000)</f>
        <v>0</v>
      </c>
      <c r="H22" s="81">
        <f t="shared" si="1"/>
        <v>0</v>
      </c>
      <c r="I22" s="84">
        <f>H22*(1+0.07)^-($B22-'Global Assumptions'!$C$6)</f>
        <v>0</v>
      </c>
      <c r="J22" s="109"/>
      <c r="K22" s="160" t="s">
        <v>81</v>
      </c>
      <c r="L22" s="82">
        <f>L17*L18*L19*L20</f>
        <v>120000</v>
      </c>
    </row>
    <row r="23" spans="2:13" x14ac:dyDescent="0.25">
      <c r="B23" s="2">
        <f t="shared" si="2"/>
        <v>2039</v>
      </c>
      <c r="C23" s="118">
        <f>IF($B23&gt;'A_Harbor Improvements_Costs'!$I$11,0,$L$7*$L$11)</f>
        <v>0</v>
      </c>
      <c r="D23" s="118">
        <f>IF($B23&gt;'A_Harbor Improvements_Costs'!$I$11,0,$L$14)</f>
        <v>0</v>
      </c>
      <c r="E23" s="119">
        <f>IF($B23&gt;'A_Harbor Improvements_Costs'!$I$11,0,$L$21+$L$22)</f>
        <v>0</v>
      </c>
      <c r="F23" s="134">
        <f>IF($B23&gt;'A_Harbor Improvements_Costs'!$I$11,0,-10000)</f>
        <v>0</v>
      </c>
      <c r="G23" s="135">
        <f>IF($B23&gt;'A_Harbor Improvements_Costs'!$I$11,0,-5000)</f>
        <v>0</v>
      </c>
      <c r="H23" s="81">
        <f t="shared" si="1"/>
        <v>0</v>
      </c>
      <c r="I23" s="84">
        <f>H23*(1+0.07)^-($B23-'Global Assumptions'!$C$6)</f>
        <v>0</v>
      </c>
      <c r="J23" s="109"/>
    </row>
    <row r="24" spans="2:13" x14ac:dyDescent="0.25">
      <c r="B24" s="2">
        <f t="shared" si="2"/>
        <v>2040</v>
      </c>
      <c r="C24" s="118">
        <f>IF($B24&gt;'A_Harbor Improvements_Costs'!$I$11,0,$L$7*$L$11)</f>
        <v>0</v>
      </c>
      <c r="D24" s="118">
        <f>IF($B24&gt;'A_Harbor Improvements_Costs'!$I$11,0,$L$14)</f>
        <v>0</v>
      </c>
      <c r="E24" s="119">
        <f>IF($B24&gt;'A_Harbor Improvements_Costs'!$I$11,0,$L$21+$L$22)</f>
        <v>0</v>
      </c>
      <c r="F24" s="134">
        <f>IF($B24&gt;'A_Harbor Improvements_Costs'!$I$11,0,-10000)</f>
        <v>0</v>
      </c>
      <c r="G24" s="135">
        <f>IF($B24&gt;'A_Harbor Improvements_Costs'!$I$11,0,-5000)</f>
        <v>0</v>
      </c>
      <c r="H24" s="81">
        <f t="shared" si="1"/>
        <v>0</v>
      </c>
      <c r="I24" s="84">
        <f>H24*(1+0.07)^-($B24-'Global Assumptions'!$C$6)</f>
        <v>0</v>
      </c>
      <c r="J24" s="109"/>
      <c r="K24" s="151"/>
    </row>
    <row r="25" spans="2:13" x14ac:dyDescent="0.25">
      <c r="B25" s="2">
        <f t="shared" si="2"/>
        <v>2041</v>
      </c>
      <c r="C25" s="118">
        <f>IF($B25&gt;'A_Harbor Improvements_Costs'!$I$11,0,$L$7*$L$11)</f>
        <v>0</v>
      </c>
      <c r="D25" s="118">
        <f>IF($B25&gt;'A_Harbor Improvements_Costs'!$I$11,0,$L$14)</f>
        <v>0</v>
      </c>
      <c r="E25" s="119">
        <f>IF($B25&gt;'A_Harbor Improvements_Costs'!$I$11,0,$L$21+$L$22)</f>
        <v>0</v>
      </c>
      <c r="F25" s="134">
        <f>IF($B25&gt;'A_Harbor Improvements_Costs'!$I$11,0,-10000)</f>
        <v>0</v>
      </c>
      <c r="G25" s="135">
        <f>IF($B25&gt;'A_Harbor Improvements_Costs'!$I$11,0,-5000)</f>
        <v>0</v>
      </c>
      <c r="H25" s="81">
        <f t="shared" si="1"/>
        <v>0</v>
      </c>
      <c r="I25" s="84">
        <f>H25*(1+0.07)^-($B25-'Global Assumptions'!$C$6)</f>
        <v>0</v>
      </c>
      <c r="J25" s="109"/>
      <c r="L25" s="17"/>
      <c r="M25" s="47"/>
    </row>
    <row r="26" spans="2:13" x14ac:dyDescent="0.25">
      <c r="B26" s="2">
        <f t="shared" si="2"/>
        <v>2042</v>
      </c>
      <c r="C26" s="118">
        <f>IF($B26&gt;'A_Harbor Improvements_Costs'!$I$11,0,$L$7*$L$11)</f>
        <v>0</v>
      </c>
      <c r="D26" s="118">
        <f>IF($B26&gt;'A_Harbor Improvements_Costs'!$I$11,0,$L$14)</f>
        <v>0</v>
      </c>
      <c r="E26" s="119">
        <f>IF($B26&gt;'A_Harbor Improvements_Costs'!$I$11,0,$L$21+$L$22)</f>
        <v>0</v>
      </c>
      <c r="F26" s="134">
        <f>IF($B26&gt;'A_Harbor Improvements_Costs'!$I$11,0,-10000)</f>
        <v>0</v>
      </c>
      <c r="G26" s="135">
        <f>IF($B26&gt;'A_Harbor Improvements_Costs'!$I$11,0,-5000)</f>
        <v>0</v>
      </c>
      <c r="H26" s="81">
        <f t="shared" si="1"/>
        <v>0</v>
      </c>
      <c r="I26" s="84">
        <f>H26*(1+0.07)^-($B26-'Global Assumptions'!$C$6)</f>
        <v>0</v>
      </c>
      <c r="J26" s="109"/>
      <c r="K26" s="17"/>
      <c r="M26" s="47"/>
    </row>
    <row r="27" spans="2:13" x14ac:dyDescent="0.25">
      <c r="B27" s="2">
        <f t="shared" si="2"/>
        <v>2043</v>
      </c>
      <c r="C27" s="118">
        <f>IF($B27&gt;'A_Harbor Improvements_Costs'!$I$11,0,$L$7*$L$11)</f>
        <v>0</v>
      </c>
      <c r="D27" s="118">
        <f>IF($B27&gt;'A_Harbor Improvements_Costs'!$I$11,0,$L$14)</f>
        <v>0</v>
      </c>
      <c r="E27" s="119">
        <f>IF($B27&gt;'A_Harbor Improvements_Costs'!$I$11,0,$L$21+$L$22)</f>
        <v>0</v>
      </c>
      <c r="F27" s="134">
        <f>IF($B27&gt;'A_Harbor Improvements_Costs'!$I$11,0,-10000)</f>
        <v>0</v>
      </c>
      <c r="G27" s="135">
        <f>IF($B27&gt;'A_Harbor Improvements_Costs'!$I$11,0,-5000)</f>
        <v>0</v>
      </c>
      <c r="H27" s="81">
        <f t="shared" si="1"/>
        <v>0</v>
      </c>
      <c r="I27" s="84">
        <f>H27*(1+0.07)^-($B27-'Global Assumptions'!$C$6)</f>
        <v>0</v>
      </c>
      <c r="J27" s="109"/>
      <c r="K27" s="17"/>
      <c r="M27" s="47"/>
    </row>
    <row r="28" spans="2:13" x14ac:dyDescent="0.25">
      <c r="B28" s="2">
        <f t="shared" si="2"/>
        <v>2044</v>
      </c>
      <c r="C28" s="118">
        <f>IF($B28&gt;'A_Harbor Improvements_Costs'!$I$11,0,$L$7*$L$11)</f>
        <v>0</v>
      </c>
      <c r="D28" s="118">
        <f>IF($B28&gt;'A_Harbor Improvements_Costs'!$I$11,0,$L$14)</f>
        <v>0</v>
      </c>
      <c r="E28" s="119">
        <f>IF($B28&gt;'A_Harbor Improvements_Costs'!$I$11,0,$L$21+$L$22)</f>
        <v>0</v>
      </c>
      <c r="F28" s="134">
        <f>IF($B28&gt;'A_Harbor Improvements_Costs'!$I$11,0,-10000)</f>
        <v>0</v>
      </c>
      <c r="G28" s="135">
        <f>IF($B28&gt;'A_Harbor Improvements_Costs'!$I$11,0,-5000)</f>
        <v>0</v>
      </c>
      <c r="H28" s="81">
        <f t="shared" si="1"/>
        <v>0</v>
      </c>
      <c r="I28" s="84">
        <f>H28*(1+0.07)^-($B28-'Global Assumptions'!$C$6)</f>
        <v>0</v>
      </c>
      <c r="J28" s="109"/>
      <c r="K28" s="47"/>
      <c r="L28" s="47"/>
      <c r="M28" s="47"/>
    </row>
    <row r="29" spans="2:13" x14ac:dyDescent="0.25">
      <c r="B29" s="2">
        <f t="shared" si="2"/>
        <v>2045</v>
      </c>
      <c r="C29" s="118">
        <f>IF($B29&gt;'A_Harbor Improvements_Costs'!$I$11,0,$L$7*$L$11)</f>
        <v>0</v>
      </c>
      <c r="D29" s="118">
        <f>IF($B29&gt;'A_Harbor Improvements_Costs'!$I$11,0,$L$14)</f>
        <v>0</v>
      </c>
      <c r="E29" s="119">
        <f>IF($B29&gt;'A_Harbor Improvements_Costs'!$I$11,0,$L$21+$L$22)</f>
        <v>0</v>
      </c>
      <c r="F29" s="134">
        <f>IF($B29&gt;'A_Harbor Improvements_Costs'!$I$11,0,-10000)</f>
        <v>0</v>
      </c>
      <c r="G29" s="135">
        <f>IF($B29&gt;'A_Harbor Improvements_Costs'!$I$11,0,-5000)</f>
        <v>0</v>
      </c>
      <c r="H29" s="81">
        <f t="shared" si="1"/>
        <v>0</v>
      </c>
      <c r="I29" s="84">
        <f>H29*(1+0.07)^-($B29-'Global Assumptions'!$C$6)</f>
        <v>0</v>
      </c>
      <c r="J29" s="109"/>
      <c r="K29" s="109"/>
      <c r="L29" s="47"/>
      <c r="M29" s="47"/>
    </row>
    <row r="30" spans="2:13" x14ac:dyDescent="0.25">
      <c r="B30" s="2">
        <f t="shared" si="2"/>
        <v>2046</v>
      </c>
      <c r="C30" s="118">
        <f>IF($B30&gt;'A_Harbor Improvements_Costs'!$I$11,0,$L$7*$L$11)</f>
        <v>0</v>
      </c>
      <c r="D30" s="118">
        <f>IF($B30&gt;'A_Harbor Improvements_Costs'!$I$11,0,$L$14)</f>
        <v>0</v>
      </c>
      <c r="E30" s="119">
        <f>IF($B30&gt;'A_Harbor Improvements_Costs'!$I$11,0,$L$21+$L$22)</f>
        <v>0</v>
      </c>
      <c r="F30" s="134">
        <f>IF($B30&gt;'A_Harbor Improvements_Costs'!$I$11,0,-10000)</f>
        <v>0</v>
      </c>
      <c r="G30" s="135">
        <f>IF($B30&gt;'A_Harbor Improvements_Costs'!$I$11,0,-5000)</f>
        <v>0</v>
      </c>
      <c r="H30" s="81">
        <f t="shared" si="1"/>
        <v>0</v>
      </c>
      <c r="I30" s="84">
        <f>H30*(1+0.07)^-($B30-'Global Assumptions'!$C$6)</f>
        <v>0</v>
      </c>
      <c r="J30" s="109"/>
      <c r="K30" s="109"/>
      <c r="L30" s="47"/>
      <c r="M30" s="47"/>
    </row>
    <row r="31" spans="2:13" ht="14.25" customHeight="1" x14ac:dyDescent="0.25">
      <c r="B31" s="2">
        <f t="shared" si="2"/>
        <v>2047</v>
      </c>
      <c r="C31" s="118">
        <f>IF($B31&gt;'A_Harbor Improvements_Costs'!$I$11,0,$L$7*$L$11)</f>
        <v>0</v>
      </c>
      <c r="D31" s="118">
        <f>IF($B31&gt;'A_Harbor Improvements_Costs'!$I$11,0,$L$14)</f>
        <v>0</v>
      </c>
      <c r="E31" s="119">
        <f>IF($B31&gt;'A_Harbor Improvements_Costs'!$I$11,0,$L$21+$L$22)</f>
        <v>0</v>
      </c>
      <c r="F31" s="134">
        <f>IF($B31&gt;'A_Harbor Improvements_Costs'!$I$11,0,-10000)</f>
        <v>0</v>
      </c>
      <c r="G31" s="135">
        <f>IF($B31&gt;'A_Harbor Improvements_Costs'!$I$11,0,-5000)</f>
        <v>0</v>
      </c>
      <c r="H31" s="81">
        <f t="shared" si="1"/>
        <v>0</v>
      </c>
      <c r="I31" s="84">
        <f>H31*(1+0.07)^-($B31-'Global Assumptions'!$C$6)</f>
        <v>0</v>
      </c>
      <c r="J31" s="109"/>
      <c r="K31" s="109"/>
      <c r="L31" s="47"/>
      <c r="M31" s="47"/>
    </row>
    <row r="32" spans="2:13" x14ac:dyDescent="0.25">
      <c r="B32" s="2">
        <f t="shared" si="2"/>
        <v>2048</v>
      </c>
      <c r="C32" s="118">
        <f>IF($B32&gt;'A_Harbor Improvements_Costs'!$I$11,0,$L$7*$L$11)</f>
        <v>0</v>
      </c>
      <c r="D32" s="118">
        <f>IF($B32&gt;'A_Harbor Improvements_Costs'!$I$11,0,$L$14)</f>
        <v>0</v>
      </c>
      <c r="E32" s="119">
        <f>IF($B32&gt;'A_Harbor Improvements_Costs'!$I$11,0,$L$21+$L$22)</f>
        <v>0</v>
      </c>
      <c r="F32" s="134">
        <f>IF($B32&gt;'A_Harbor Improvements_Costs'!$I$11,0,-10000)</f>
        <v>0</v>
      </c>
      <c r="G32" s="135">
        <f>IF($B32&gt;'A_Harbor Improvements_Costs'!$I$11,0,-5000)</f>
        <v>0</v>
      </c>
      <c r="H32" s="81">
        <f t="shared" si="1"/>
        <v>0</v>
      </c>
      <c r="I32" s="84">
        <f>H32*(1+0.07)^-($B32-'Global Assumptions'!$C$6)</f>
        <v>0</v>
      </c>
      <c r="J32" s="109"/>
      <c r="K32" s="109"/>
      <c r="L32" s="47"/>
      <c r="M32" s="47"/>
    </row>
    <row r="33" spans="1:32" x14ac:dyDescent="0.25">
      <c r="B33" s="2">
        <f t="shared" si="2"/>
        <v>2049</v>
      </c>
      <c r="C33" s="118">
        <f>IF($B33&gt;'A_Harbor Improvements_Costs'!$I$11,0,$L$7*$L$11)</f>
        <v>0</v>
      </c>
      <c r="D33" s="118">
        <f>IF($B33&gt;'A_Harbor Improvements_Costs'!$I$11,0,$L$14)</f>
        <v>0</v>
      </c>
      <c r="E33" s="119">
        <f>IF($B33&gt;'A_Harbor Improvements_Costs'!$I$11,0,$L$21+$L$22)</f>
        <v>0</v>
      </c>
      <c r="F33" s="134">
        <f>IF($B33&gt;'A_Harbor Improvements_Costs'!$I$11,0,-10000)</f>
        <v>0</v>
      </c>
      <c r="G33" s="135">
        <f>IF($B33&gt;'A_Harbor Improvements_Costs'!$I$11,0,-5000)</f>
        <v>0</v>
      </c>
      <c r="H33" s="81">
        <f t="shared" si="1"/>
        <v>0</v>
      </c>
      <c r="I33" s="84">
        <f>H33*(1+0.07)^-($B33-'Global Assumptions'!$C$6)</f>
        <v>0</v>
      </c>
      <c r="J33" s="109"/>
      <c r="K33" s="109"/>
      <c r="L33" s="47"/>
      <c r="M33" s="47"/>
    </row>
    <row r="34" spans="1:32" x14ac:dyDescent="0.25">
      <c r="B34" s="2">
        <f t="shared" si="2"/>
        <v>2050</v>
      </c>
      <c r="C34" s="118">
        <f>IF($B34&gt;'A_Harbor Improvements_Costs'!$I$11,0,$L$7*$L$11)</f>
        <v>0</v>
      </c>
      <c r="D34" s="118">
        <f>IF($B34&gt;'A_Harbor Improvements_Costs'!$I$11,0,$L$14)</f>
        <v>0</v>
      </c>
      <c r="E34" s="119">
        <f>IF($B34&gt;'A_Harbor Improvements_Costs'!$I$11,0,$L$21+$L$22)</f>
        <v>0</v>
      </c>
      <c r="F34" s="134">
        <f>IF($B34&gt;'A_Harbor Improvements_Costs'!$I$11,0,-10000)</f>
        <v>0</v>
      </c>
      <c r="G34" s="135">
        <f>IF($B34&gt;'A_Harbor Improvements_Costs'!$I$11,0,-5000)</f>
        <v>0</v>
      </c>
      <c r="H34" s="81">
        <f t="shared" si="1"/>
        <v>0</v>
      </c>
      <c r="I34" s="84">
        <f>H34*(1+0.07)^-($B34-'Global Assumptions'!$C$6)</f>
        <v>0</v>
      </c>
      <c r="J34" s="109"/>
      <c r="K34" s="109"/>
      <c r="L34" s="47"/>
      <c r="M34" s="47"/>
    </row>
    <row r="35" spans="1:32" x14ac:dyDescent="0.25">
      <c r="B35" s="2">
        <f t="shared" si="2"/>
        <v>2051</v>
      </c>
      <c r="C35" s="118">
        <f>IF($B35&gt;'A_Harbor Improvements_Costs'!$I$11,0,$L$7*$L$11)</f>
        <v>0</v>
      </c>
      <c r="D35" s="118">
        <f>IF($B35&gt;'A_Harbor Improvements_Costs'!$I$11,0,$L$14)</f>
        <v>0</v>
      </c>
      <c r="E35" s="119">
        <f>IF($B35&gt;'A_Harbor Improvements_Costs'!$I$11,0,$L$21+$L$22)</f>
        <v>0</v>
      </c>
      <c r="F35" s="134">
        <f>IF($B35&gt;'A_Harbor Improvements_Costs'!$I$11,0,-10000)</f>
        <v>0</v>
      </c>
      <c r="G35" s="135">
        <f>IF($B35&gt;'A_Harbor Improvements_Costs'!$I$11,0,-5000)</f>
        <v>0</v>
      </c>
      <c r="H35" s="81">
        <f t="shared" si="1"/>
        <v>0</v>
      </c>
      <c r="I35" s="84">
        <f>H35*(1+0.07)^-($B35-'Global Assumptions'!$C$6)</f>
        <v>0</v>
      </c>
      <c r="J35" s="109"/>
      <c r="K35" s="109"/>
      <c r="L35" s="47"/>
      <c r="M35" s="47"/>
    </row>
    <row r="36" spans="1:32" ht="15" customHeight="1" thickBot="1" x14ac:dyDescent="0.3">
      <c r="B36" s="3">
        <f t="shared" si="2"/>
        <v>2052</v>
      </c>
      <c r="C36" s="121">
        <f>IF($B36&gt;'A_Harbor Improvements_Costs'!$I$11,0,$L$7*$L$11)</f>
        <v>0</v>
      </c>
      <c r="D36" s="121">
        <f>IF($B36&gt;'A_Harbor Improvements_Costs'!$I$11,0,$L$14)</f>
        <v>0</v>
      </c>
      <c r="E36" s="122">
        <f>IF($B36&gt;'A_Harbor Improvements_Costs'!$I$11,0,$L$21+$L$22)</f>
        <v>0</v>
      </c>
      <c r="F36" s="136">
        <f>IF($B36&gt;'A_Harbor Improvements_Costs'!$I$11,0,-10000)</f>
        <v>0</v>
      </c>
      <c r="G36" s="137">
        <f>IF($B36&gt;'A_Harbor Improvements_Costs'!$I$11,0,-5000)</f>
        <v>0</v>
      </c>
      <c r="H36" s="91">
        <f t="shared" si="1"/>
        <v>0</v>
      </c>
      <c r="I36" s="85">
        <f>H36*(1+0.07)^-($B36-'Global Assumptions'!$C$6)</f>
        <v>0</v>
      </c>
      <c r="J36" s="14"/>
      <c r="K36" s="109"/>
      <c r="L36" s="47"/>
      <c r="M36" s="47"/>
    </row>
    <row r="37" spans="1:32" ht="15" customHeight="1" thickBot="1" x14ac:dyDescent="0.3">
      <c r="B37" s="4"/>
      <c r="C37" s="51"/>
      <c r="D37" s="51"/>
      <c r="E37" s="51"/>
      <c r="F37" s="51"/>
      <c r="G37" s="51"/>
      <c r="H37" s="125" t="s">
        <v>2</v>
      </c>
      <c r="I37" s="86">
        <f>SUM(I7:I36)</f>
        <v>2031622.6273936452</v>
      </c>
      <c r="J37" s="109"/>
      <c r="K37" s="109"/>
      <c r="L37" s="47"/>
      <c r="M37" s="47"/>
    </row>
    <row r="38" spans="1:32" ht="15" customHeight="1" x14ac:dyDescent="0.25">
      <c r="J38" s="109"/>
      <c r="K38" s="109"/>
      <c r="L38" s="47"/>
      <c r="M38" s="21"/>
    </row>
    <row r="39" spans="1:32" x14ac:dyDescent="0.25">
      <c r="B39" s="15" t="s">
        <v>3</v>
      </c>
      <c r="I39" s="19"/>
      <c r="J39" s="109"/>
      <c r="K39" s="109"/>
      <c r="L39" s="47"/>
    </row>
    <row r="40" spans="1:32" ht="15" customHeight="1" x14ac:dyDescent="0.25">
      <c r="A40" s="6" t="s">
        <v>24</v>
      </c>
      <c r="B40" s="367" t="s">
        <v>131</v>
      </c>
      <c r="C40" s="367"/>
      <c r="D40" s="367"/>
      <c r="E40" s="367"/>
      <c r="F40" s="367"/>
      <c r="G40" s="367"/>
      <c r="H40" s="367"/>
      <c r="I40" s="367"/>
      <c r="K40" s="109"/>
      <c r="L40" s="47"/>
    </row>
    <row r="41" spans="1:32" ht="15" customHeight="1" x14ac:dyDescent="0.25">
      <c r="B41" s="367"/>
      <c r="C41" s="367"/>
      <c r="D41" s="367"/>
      <c r="E41" s="367"/>
      <c r="F41" s="367"/>
      <c r="G41" s="367"/>
      <c r="H41" s="367"/>
      <c r="I41" s="367"/>
      <c r="K41" s="109"/>
      <c r="L41" s="47"/>
    </row>
    <row r="42" spans="1:32" ht="15" customHeight="1" x14ac:dyDescent="0.25">
      <c r="B42" s="19"/>
      <c r="C42" s="19"/>
      <c r="D42" s="19"/>
      <c r="E42" s="19"/>
      <c r="F42" s="19"/>
      <c r="G42" s="19"/>
      <c r="H42" s="19"/>
      <c r="I42" s="19"/>
      <c r="J42" s="150"/>
      <c r="K42" s="170"/>
      <c r="L42" s="47"/>
      <c r="M42" s="150"/>
      <c r="N42" s="150"/>
      <c r="O42" s="150"/>
    </row>
    <row r="43" spans="1:32" ht="15" customHeight="1" x14ac:dyDescent="0.25">
      <c r="A43" s="152" t="s">
        <v>23</v>
      </c>
      <c r="B43" s="367" t="s">
        <v>270</v>
      </c>
      <c r="C43" s="367"/>
      <c r="D43" s="367"/>
      <c r="E43" s="367"/>
      <c r="F43" s="367"/>
      <c r="G43" s="367"/>
      <c r="H43" s="367"/>
      <c r="I43" s="367"/>
      <c r="J43" s="150"/>
      <c r="K43" s="170"/>
      <c r="L43" s="47"/>
      <c r="M43" s="150"/>
      <c r="N43" s="150"/>
      <c r="O43" s="150"/>
    </row>
    <row r="44" spans="1:32" ht="15" customHeight="1" x14ac:dyDescent="0.25">
      <c r="A44" s="152"/>
      <c r="B44" s="367"/>
      <c r="C44" s="367"/>
      <c r="D44" s="367"/>
      <c r="E44" s="367"/>
      <c r="F44" s="367"/>
      <c r="G44" s="367"/>
      <c r="H44" s="367"/>
      <c r="I44" s="367"/>
      <c r="J44" s="150"/>
      <c r="K44" s="170"/>
      <c r="L44" s="47"/>
      <c r="M44" s="150"/>
      <c r="N44" s="150"/>
      <c r="O44" s="150"/>
    </row>
    <row r="45" spans="1:32" x14ac:dyDescent="0.25">
      <c r="A45" s="152"/>
      <c r="B45" s="367"/>
      <c r="C45" s="367"/>
      <c r="D45" s="367"/>
      <c r="E45" s="367"/>
      <c r="F45" s="367"/>
      <c r="G45" s="367"/>
      <c r="H45" s="367"/>
      <c r="I45" s="367"/>
      <c r="K45" s="109"/>
      <c r="L45" s="47"/>
      <c r="P45" s="150"/>
      <c r="Q45" s="150"/>
    </row>
    <row r="46" spans="1:32" x14ac:dyDescent="0.25">
      <c r="A46" s="152"/>
      <c r="B46" s="367"/>
      <c r="C46" s="367"/>
      <c r="D46" s="367"/>
      <c r="E46" s="367"/>
      <c r="F46" s="367"/>
      <c r="G46" s="367"/>
      <c r="H46" s="367"/>
      <c r="I46" s="367"/>
      <c r="K46" s="109"/>
      <c r="P46" s="150"/>
      <c r="Q46" s="150"/>
      <c r="R46" s="150"/>
      <c r="S46" s="150"/>
      <c r="T46" s="150"/>
      <c r="U46" s="150"/>
      <c r="V46" s="150"/>
      <c r="W46" s="150"/>
      <c r="X46" s="150"/>
      <c r="Y46" s="150"/>
      <c r="Z46" s="150"/>
      <c r="AA46" s="150"/>
      <c r="AB46" s="150"/>
      <c r="AC46" s="150"/>
      <c r="AD46" s="150"/>
      <c r="AE46" s="150"/>
      <c r="AF46" s="150"/>
    </row>
    <row r="47" spans="1:32" x14ac:dyDescent="0.25">
      <c r="A47" s="152"/>
      <c r="B47" s="19"/>
      <c r="C47" s="19"/>
      <c r="D47" s="19"/>
      <c r="E47" s="19"/>
      <c r="F47" s="19"/>
      <c r="G47" s="19"/>
      <c r="H47" s="19"/>
      <c r="I47" s="19"/>
      <c r="K47" s="109"/>
      <c r="P47" s="150"/>
      <c r="Q47" s="150"/>
      <c r="R47" s="150"/>
      <c r="S47" s="150"/>
      <c r="T47" s="150"/>
      <c r="U47" s="150"/>
      <c r="V47" s="150"/>
      <c r="W47" s="150"/>
      <c r="X47" s="150"/>
      <c r="Y47" s="150"/>
      <c r="Z47" s="150"/>
      <c r="AA47" s="150"/>
      <c r="AB47" s="150"/>
      <c r="AC47" s="150"/>
      <c r="AD47" s="150"/>
      <c r="AE47" s="150"/>
      <c r="AF47" s="150"/>
    </row>
    <row r="48" spans="1:32" x14ac:dyDescent="0.25">
      <c r="A48" s="152" t="s">
        <v>55</v>
      </c>
      <c r="B48" s="367" t="s">
        <v>313</v>
      </c>
      <c r="C48" s="367"/>
      <c r="D48" s="367"/>
      <c r="E48" s="367"/>
      <c r="F48" s="367"/>
      <c r="G48" s="367"/>
      <c r="H48" s="367"/>
      <c r="I48" s="367"/>
      <c r="R48" s="150"/>
      <c r="S48" s="150"/>
      <c r="T48" s="150"/>
      <c r="U48" s="150"/>
      <c r="V48" s="150"/>
      <c r="W48" s="150"/>
      <c r="X48" s="150"/>
      <c r="Y48" s="150"/>
      <c r="Z48" s="150"/>
      <c r="AA48" s="150"/>
      <c r="AB48" s="150"/>
      <c r="AC48" s="150"/>
      <c r="AD48" s="150"/>
      <c r="AE48" s="150"/>
      <c r="AF48" s="150"/>
    </row>
    <row r="49" spans="1:32" x14ac:dyDescent="0.25">
      <c r="A49" s="152"/>
      <c r="B49" s="367"/>
      <c r="C49" s="367"/>
      <c r="D49" s="367"/>
      <c r="E49" s="367"/>
      <c r="F49" s="367"/>
      <c r="G49" s="367"/>
      <c r="H49" s="367"/>
      <c r="I49" s="367"/>
    </row>
    <row r="50" spans="1:32" x14ac:dyDescent="0.25">
      <c r="A50" s="152"/>
      <c r="B50" s="19"/>
      <c r="C50" s="19"/>
      <c r="D50" s="19"/>
      <c r="E50" s="19"/>
      <c r="F50" s="19"/>
      <c r="G50" s="19"/>
      <c r="H50" s="19"/>
      <c r="I50" s="19"/>
    </row>
    <row r="51" spans="1:32" x14ac:dyDescent="0.25">
      <c r="A51" s="152" t="s">
        <v>56</v>
      </c>
      <c r="B51" s="367" t="s">
        <v>133</v>
      </c>
      <c r="C51" s="367"/>
      <c r="D51" s="367"/>
      <c r="E51" s="367"/>
      <c r="F51" s="367"/>
      <c r="G51" s="367"/>
      <c r="H51" s="367"/>
      <c r="I51" s="367"/>
    </row>
    <row r="52" spans="1:32" s="150" customFormat="1" x14ac:dyDescent="0.25">
      <c r="B52" s="367"/>
      <c r="C52" s="367"/>
      <c r="D52" s="367"/>
      <c r="E52" s="367"/>
      <c r="F52" s="367"/>
      <c r="G52" s="367"/>
      <c r="H52" s="367"/>
      <c r="I52" s="367"/>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row>
    <row r="53" spans="1:32" s="150" customFormat="1" x14ac:dyDescent="0.25">
      <c r="B53" s="367"/>
      <c r="C53" s="367"/>
      <c r="D53" s="367"/>
      <c r="E53" s="367"/>
      <c r="F53" s="367"/>
      <c r="G53" s="367"/>
      <c r="H53" s="367"/>
      <c r="I53" s="367"/>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row>
    <row r="54" spans="1:32" s="150" customFormat="1" x14ac:dyDescent="0.25">
      <c r="B54" s="367"/>
      <c r="C54" s="367"/>
      <c r="D54" s="367"/>
      <c r="E54" s="367"/>
      <c r="F54" s="367"/>
      <c r="G54" s="367"/>
      <c r="H54" s="367"/>
      <c r="I54" s="367"/>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row>
    <row r="55" spans="1:32" ht="15" customHeight="1" x14ac:dyDescent="0.25"/>
    <row r="56" spans="1:32" ht="15" customHeight="1" x14ac:dyDescent="0.25">
      <c r="A56" s="6" t="s">
        <v>134</v>
      </c>
      <c r="B56" s="369" t="s">
        <v>271</v>
      </c>
      <c r="C56" s="369"/>
      <c r="D56" s="369"/>
      <c r="E56" s="369"/>
      <c r="F56" s="369"/>
      <c r="G56" s="369"/>
      <c r="H56" s="369"/>
      <c r="I56" s="369"/>
    </row>
    <row r="57" spans="1:32" ht="15" customHeight="1" x14ac:dyDescent="0.25">
      <c r="B57" s="369"/>
      <c r="C57" s="369"/>
      <c r="D57" s="369"/>
      <c r="E57" s="369"/>
      <c r="F57" s="369"/>
      <c r="G57" s="369"/>
      <c r="H57" s="369"/>
      <c r="I57" s="369"/>
    </row>
    <row r="58" spans="1:32" ht="15" customHeight="1" x14ac:dyDescent="0.25">
      <c r="B58" s="369"/>
      <c r="C58" s="369"/>
      <c r="D58" s="369"/>
      <c r="E58" s="369"/>
      <c r="F58" s="369"/>
      <c r="G58" s="369"/>
      <c r="H58" s="369"/>
      <c r="I58" s="369"/>
    </row>
    <row r="59" spans="1:32" x14ac:dyDescent="0.25">
      <c r="A59" s="6"/>
      <c r="B59" s="369"/>
      <c r="C59" s="369"/>
      <c r="D59" s="369"/>
      <c r="E59" s="369"/>
      <c r="F59" s="369"/>
      <c r="G59" s="369"/>
      <c r="H59" s="369"/>
      <c r="I59" s="369"/>
    </row>
  </sheetData>
  <mergeCells count="14">
    <mergeCell ref="B48:I49"/>
    <mergeCell ref="B51:I54"/>
    <mergeCell ref="K6:L6"/>
    <mergeCell ref="B56:I59"/>
    <mergeCell ref="E5:E6"/>
    <mergeCell ref="B5:B6"/>
    <mergeCell ref="C5:C6"/>
    <mergeCell ref="D5:D6"/>
    <mergeCell ref="H5:H6"/>
    <mergeCell ref="I5:I6"/>
    <mergeCell ref="F5:F6"/>
    <mergeCell ref="G5:G6"/>
    <mergeCell ref="B40:I41"/>
    <mergeCell ref="B43:I46"/>
  </mergeCells>
  <pageMargins left="0.25" right="0.25" top="0.75" bottom="0.75" header="0.3" footer="0.3"/>
  <pageSetup paperSize="119"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81388-CADE-4750-8844-50B81DC8269E}">
  <sheetPr>
    <tabColor rgb="FFC00000"/>
    <pageSetUpPr fitToPage="1"/>
  </sheetPr>
  <dimension ref="A1:M63"/>
  <sheetViews>
    <sheetView view="pageBreakPreview" zoomScale="85" zoomScaleNormal="85" zoomScaleSheetLayoutView="85" workbookViewId="0">
      <selection activeCell="J44" sqref="J44"/>
    </sheetView>
  </sheetViews>
  <sheetFormatPr defaultRowHeight="15" x14ac:dyDescent="0.25"/>
  <cols>
    <col min="1" max="1" width="5.140625" style="100" customWidth="1"/>
    <col min="2" max="7" width="15.7109375" style="100" customWidth="1"/>
    <col min="8" max="8" width="27.85546875" style="100" customWidth="1"/>
    <col min="9" max="10" width="21.140625" style="100" customWidth="1"/>
    <col min="11" max="11" width="16" style="100" customWidth="1"/>
    <col min="12" max="12" width="20.5703125" style="100" customWidth="1"/>
    <col min="13" max="13" width="16" style="100" customWidth="1"/>
    <col min="14" max="14" width="13.140625" style="100" customWidth="1"/>
    <col min="15" max="16384" width="9.140625" style="100"/>
  </cols>
  <sheetData>
    <row r="1" spans="2:13" x14ac:dyDescent="0.25">
      <c r="B1" s="100">
        <v>1</v>
      </c>
      <c r="C1" s="100">
        <f t="shared" ref="C1:F1" si="0">B1+1</f>
        <v>2</v>
      </c>
      <c r="D1" s="100">
        <f t="shared" si="0"/>
        <v>3</v>
      </c>
      <c r="E1" s="100">
        <f t="shared" si="0"/>
        <v>4</v>
      </c>
      <c r="F1" s="100">
        <f t="shared" si="0"/>
        <v>5</v>
      </c>
    </row>
    <row r="2" spans="2:13" x14ac:dyDescent="0.25">
      <c r="B2" s="101" t="s">
        <v>51</v>
      </c>
    </row>
    <row r="3" spans="2:13" ht="15.75" customHeight="1" x14ac:dyDescent="0.25">
      <c r="C3" s="123"/>
      <c r="D3" s="123"/>
      <c r="E3" s="123"/>
      <c r="F3" s="123"/>
    </row>
    <row r="4" spans="2:13" ht="15.75" thickBot="1" x14ac:dyDescent="0.3">
      <c r="C4" s="108"/>
      <c r="D4" s="108"/>
      <c r="E4" s="108"/>
      <c r="F4" s="108"/>
    </row>
    <row r="5" spans="2:13" ht="15.75" customHeight="1" x14ac:dyDescent="0.25">
      <c r="B5" s="380" t="s">
        <v>0</v>
      </c>
      <c r="C5" s="382" t="s">
        <v>26</v>
      </c>
      <c r="D5" s="384" t="s">
        <v>1</v>
      </c>
      <c r="E5" s="386" t="s">
        <v>47</v>
      </c>
      <c r="F5" s="370" t="s">
        <v>48</v>
      </c>
      <c r="H5" s="101" t="s">
        <v>32</v>
      </c>
      <c r="M5" s="100" t="s">
        <v>69</v>
      </c>
    </row>
    <row r="6" spans="2:13" ht="15.75" customHeight="1" thickBot="1" x14ac:dyDescent="0.3">
      <c r="B6" s="381"/>
      <c r="C6" s="383"/>
      <c r="D6" s="385"/>
      <c r="E6" s="387"/>
      <c r="F6" s="371"/>
      <c r="I6" s="111" t="s">
        <v>54</v>
      </c>
      <c r="J6" s="104"/>
      <c r="L6" s="100" t="s">
        <v>70</v>
      </c>
      <c r="M6" s="103">
        <v>1000000</v>
      </c>
    </row>
    <row r="7" spans="2:13" ht="15.75" customHeight="1" x14ac:dyDescent="0.25">
      <c r="B7" s="302">
        <f>'Global Assumptions'!$C$6</f>
        <v>2019</v>
      </c>
      <c r="C7" s="308">
        <f t="shared" ref="C7:C44" si="1">IF(AND($B7&gt;=$I$7,$B7&lt;$I$7+$I$8),($J$21)/$I$8,0)</f>
        <v>0</v>
      </c>
      <c r="D7" s="303">
        <f>C7*(1+0.07)^-($B7-'Global Assumptions'!$C$6)</f>
        <v>0</v>
      </c>
      <c r="E7" s="309">
        <f>IF($B7=$I$11,'A_Harbor Improvements_Costs'!$J$31,0)</f>
        <v>0</v>
      </c>
      <c r="F7" s="303">
        <f>E7*(1+0.07)^-($B7-'Global Assumptions'!$C$6)</f>
        <v>0</v>
      </c>
      <c r="H7" s="8" t="s">
        <v>33</v>
      </c>
      <c r="I7" s="95">
        <v>2022</v>
      </c>
      <c r="J7" s="9"/>
      <c r="M7" s="103"/>
    </row>
    <row r="8" spans="2:13" ht="15.75" customHeight="1" x14ac:dyDescent="0.25">
      <c r="B8" s="106">
        <f>B7+1</f>
        <v>2020</v>
      </c>
      <c r="C8" s="304">
        <f t="shared" si="1"/>
        <v>0</v>
      </c>
      <c r="D8" s="305">
        <f>C8*(1+0.07)^-($B8-'Global Assumptions'!$C$6)</f>
        <v>0</v>
      </c>
      <c r="E8" s="310">
        <f>IF($B8=$I$11,'A_Harbor Improvements_Costs'!$J$31,0)</f>
        <v>0</v>
      </c>
      <c r="F8" s="305">
        <f>E8*(1+0.07)^-($B8-'Global Assumptions'!$C$6)</f>
        <v>0</v>
      </c>
      <c r="H8" s="8" t="s">
        <v>31</v>
      </c>
      <c r="I8" s="95">
        <v>1</v>
      </c>
      <c r="J8" s="105"/>
      <c r="L8" s="100" t="s">
        <v>71</v>
      </c>
      <c r="M8" s="103">
        <v>125000</v>
      </c>
    </row>
    <row r="9" spans="2:13" ht="15.75" customHeight="1" x14ac:dyDescent="0.25">
      <c r="B9" s="106">
        <f t="shared" ref="B9:B44" si="2">B8+1</f>
        <v>2021</v>
      </c>
      <c r="C9" s="306">
        <f t="shared" si="1"/>
        <v>0</v>
      </c>
      <c r="D9" s="71">
        <f>C9*(1+0.07)^-($B9-'Global Assumptions'!$C$6)</f>
        <v>0</v>
      </c>
      <c r="E9" s="301">
        <f>IF($B9=$I$11,'A_Harbor Improvements_Costs'!$J$31,0)</f>
        <v>0</v>
      </c>
      <c r="F9" s="71">
        <f>E9*(1+0.07)^-($B9-'Global Assumptions'!$C$6)</f>
        <v>0</v>
      </c>
      <c r="H9" s="64" t="s">
        <v>59</v>
      </c>
      <c r="I9" s="65">
        <f>MIN(I18:I20)</f>
        <v>12</v>
      </c>
      <c r="J9" s="105"/>
      <c r="L9" s="100" t="s">
        <v>72</v>
      </c>
      <c r="M9" s="103">
        <v>475000</v>
      </c>
    </row>
    <row r="10" spans="2:13" ht="15.75" customHeight="1" x14ac:dyDescent="0.25">
      <c r="B10" s="106">
        <f t="shared" si="2"/>
        <v>2022</v>
      </c>
      <c r="C10" s="306">
        <f t="shared" si="1"/>
        <v>1826500</v>
      </c>
      <c r="D10" s="71">
        <f>C10*(1+0.07)^-($B10-'Global Assumptions'!$C$6)</f>
        <v>1490968.0721411409</v>
      </c>
      <c r="E10" s="301">
        <f>IF($B10=$I$11,'A_Harbor Improvements_Costs'!$J$31,0)</f>
        <v>0</v>
      </c>
      <c r="F10" s="71">
        <f>E10*(1+0.07)^-($B10-'Global Assumptions'!$C$6)</f>
        <v>0</v>
      </c>
      <c r="H10" s="64" t="s">
        <v>53</v>
      </c>
      <c r="I10" s="65">
        <f>I7+I8</f>
        <v>2023</v>
      </c>
      <c r="L10" s="100" t="s">
        <v>73</v>
      </c>
      <c r="M10" s="103">
        <v>300000</v>
      </c>
    </row>
    <row r="11" spans="2:13" ht="15.75" customHeight="1" x14ac:dyDescent="0.25">
      <c r="B11" s="106">
        <f t="shared" si="2"/>
        <v>2023</v>
      </c>
      <c r="C11" s="306">
        <f t="shared" si="1"/>
        <v>0</v>
      </c>
      <c r="D11" s="71">
        <f>C11*(1+0.07)^-($B11-'Global Assumptions'!$C$6)</f>
        <v>0</v>
      </c>
      <c r="E11" s="301">
        <f>IF($B11=$I$11,'A_Harbor Improvements_Costs'!$J$31,0)</f>
        <v>0</v>
      </c>
      <c r="F11" s="71">
        <f>E11*(1+0.07)^-($B11-'Global Assumptions'!$C$6)</f>
        <v>0</v>
      </c>
      <c r="H11" s="64" t="s">
        <v>43</v>
      </c>
      <c r="I11" s="65">
        <f>I10+I9-1</f>
        <v>2034</v>
      </c>
      <c r="L11" s="100" t="s">
        <v>74</v>
      </c>
      <c r="M11" s="103">
        <f>SUM(M6:M10)</f>
        <v>1900000</v>
      </c>
    </row>
    <row r="12" spans="2:13" ht="15.75" customHeight="1" x14ac:dyDescent="0.25">
      <c r="B12" s="106">
        <f t="shared" si="2"/>
        <v>2024</v>
      </c>
      <c r="C12" s="306">
        <f t="shared" si="1"/>
        <v>0</v>
      </c>
      <c r="D12" s="71">
        <f>C12*(1+0.07)^-($B12-'Global Assumptions'!$C$6)</f>
        <v>0</v>
      </c>
      <c r="E12" s="301">
        <f>IF($B12=$I$11,'A_Harbor Improvements_Costs'!$J$31,0)</f>
        <v>0</v>
      </c>
      <c r="F12" s="71">
        <f>E12*(1+0.07)^-($B12-'Global Assumptions'!$C$6)</f>
        <v>0</v>
      </c>
      <c r="H12" s="64" t="s">
        <v>75</v>
      </c>
      <c r="I12" s="65" t="s">
        <v>76</v>
      </c>
      <c r="M12" s="103"/>
    </row>
    <row r="13" spans="2:13" ht="15.75" customHeight="1" x14ac:dyDescent="0.25">
      <c r="B13" s="106">
        <f t="shared" si="2"/>
        <v>2025</v>
      </c>
      <c r="C13" s="306">
        <f t="shared" si="1"/>
        <v>0</v>
      </c>
      <c r="D13" s="71">
        <f>C13*(1+0.07)^-($B13-'Global Assumptions'!$C$6)</f>
        <v>0</v>
      </c>
      <c r="E13" s="301">
        <f>IF($B13=$I$11,'A_Harbor Improvements_Costs'!$J$31,0)</f>
        <v>0</v>
      </c>
      <c r="F13" s="71">
        <f>E13*(1+0.07)^-($B13-'Global Assumptions'!$C$6)</f>
        <v>0</v>
      </c>
      <c r="H13" s="129"/>
      <c r="I13" s="130"/>
      <c r="M13" s="103"/>
    </row>
    <row r="14" spans="2:13" ht="15.75" customHeight="1" x14ac:dyDescent="0.25">
      <c r="B14" s="106">
        <f t="shared" si="2"/>
        <v>2026</v>
      </c>
      <c r="C14" s="306">
        <f t="shared" si="1"/>
        <v>0</v>
      </c>
      <c r="D14" s="71">
        <f>C14*(1+0.07)^-($B14-'Global Assumptions'!$C$6)</f>
        <v>0</v>
      </c>
      <c r="E14" s="301">
        <f>IF($B14=$I$11,'A_Harbor Improvements_Costs'!$J$31,0)</f>
        <v>0</v>
      </c>
      <c r="F14" s="71">
        <f>E14*(1+0.07)^-($B14-'Global Assumptions'!$C$6)</f>
        <v>0</v>
      </c>
      <c r="H14" s="22" t="s">
        <v>34</v>
      </c>
      <c r="J14" s="124"/>
      <c r="K14" s="22"/>
    </row>
    <row r="15" spans="2:13" ht="15.75" customHeight="1" x14ac:dyDescent="0.25">
      <c r="B15" s="106">
        <f t="shared" si="2"/>
        <v>2027</v>
      </c>
      <c r="C15" s="306">
        <f t="shared" si="1"/>
        <v>0</v>
      </c>
      <c r="D15" s="71">
        <f>C15*(1+0.07)^-($B15-'Global Assumptions'!$C$6)</f>
        <v>0</v>
      </c>
      <c r="E15" s="301">
        <f>IF($B15=$I$11,'A_Harbor Improvements_Costs'!$J$31,0)</f>
        <v>0</v>
      </c>
      <c r="F15" s="71">
        <f>E15*(1+0.07)^-($B15-'Global Assumptions'!$C$6)</f>
        <v>0</v>
      </c>
      <c r="H15" s="397" t="s">
        <v>4</v>
      </c>
      <c r="I15" s="390" t="s">
        <v>5</v>
      </c>
      <c r="J15" s="393" t="s">
        <v>261</v>
      </c>
      <c r="K15" s="73"/>
    </row>
    <row r="16" spans="2:13" ht="15.75" customHeight="1" x14ac:dyDescent="0.25">
      <c r="B16" s="106">
        <f t="shared" si="2"/>
        <v>2028</v>
      </c>
      <c r="C16" s="306">
        <f t="shared" si="1"/>
        <v>0</v>
      </c>
      <c r="D16" s="71">
        <f>C16*(1+0.07)^-($B16-'Global Assumptions'!$C$6)</f>
        <v>0</v>
      </c>
      <c r="E16" s="301">
        <f>IF($B16=$I$11,'A_Harbor Improvements_Costs'!$J$31,0)</f>
        <v>0</v>
      </c>
      <c r="F16" s="71">
        <f>E16*(1+0.07)^-($B16-'Global Assumptions'!$C$6)</f>
        <v>0</v>
      </c>
      <c r="H16" s="398"/>
      <c r="I16" s="391"/>
      <c r="J16" s="394"/>
      <c r="K16" s="73"/>
    </row>
    <row r="17" spans="2:11" ht="15.75" customHeight="1" x14ac:dyDescent="0.25">
      <c r="B17" s="106">
        <f t="shared" si="2"/>
        <v>2029</v>
      </c>
      <c r="C17" s="306">
        <f t="shared" si="1"/>
        <v>0</v>
      </c>
      <c r="D17" s="71">
        <f>C17*(1+0.07)^-($B17-'Global Assumptions'!$C$6)</f>
        <v>0</v>
      </c>
      <c r="E17" s="301">
        <f>IF($B17=$I$11,'A_Harbor Improvements_Costs'!$J$31,0)</f>
        <v>0</v>
      </c>
      <c r="F17" s="71">
        <f>E17*(1+0.07)^-($B17-'Global Assumptions'!$C$6)</f>
        <v>0</v>
      </c>
      <c r="H17" s="399"/>
      <c r="I17" s="392"/>
      <c r="J17" s="395"/>
      <c r="K17" s="73"/>
    </row>
    <row r="18" spans="2:11" ht="15.75" customHeight="1" x14ac:dyDescent="0.25">
      <c r="B18" s="106">
        <f t="shared" si="2"/>
        <v>2030</v>
      </c>
      <c r="C18" s="306">
        <f t="shared" si="1"/>
        <v>0</v>
      </c>
      <c r="D18" s="71">
        <f>C18*(1+0.07)^-($B18-'Global Assumptions'!$C$6)</f>
        <v>0</v>
      </c>
      <c r="E18" s="301">
        <f>IF($B18=$I$11,'A_Harbor Improvements_Costs'!$J$31,0)</f>
        <v>0</v>
      </c>
      <c r="F18" s="71">
        <f>E18*(1+0.07)^-($B18-'Global Assumptions'!$C$6)</f>
        <v>0</v>
      </c>
      <c r="H18" s="8" t="s">
        <v>87</v>
      </c>
      <c r="I18" s="28">
        <v>60</v>
      </c>
      <c r="J18" s="62">
        <f>M6</f>
        <v>1000000</v>
      </c>
      <c r="K18" s="74"/>
    </row>
    <row r="19" spans="2:11" ht="15.75" customHeight="1" x14ac:dyDescent="0.25">
      <c r="B19" s="106">
        <f t="shared" si="2"/>
        <v>2031</v>
      </c>
      <c r="C19" s="306">
        <f t="shared" si="1"/>
        <v>0</v>
      </c>
      <c r="D19" s="71">
        <f>C19*(1+0.07)^-($B19-'Global Assumptions'!$C$6)</f>
        <v>0</v>
      </c>
      <c r="E19" s="301">
        <f>IF($B19=$I$11,'A_Harbor Improvements_Costs'!$J$31,0)</f>
        <v>0</v>
      </c>
      <c r="F19" s="71">
        <f>E19*(1+0.07)^-($B19-'Global Assumptions'!$C$6)</f>
        <v>0</v>
      </c>
      <c r="H19" s="8" t="s">
        <v>88</v>
      </c>
      <c r="I19" s="28">
        <v>25</v>
      </c>
      <c r="J19" s="62">
        <f>M9</f>
        <v>475000</v>
      </c>
      <c r="K19" s="74"/>
    </row>
    <row r="20" spans="2:11" ht="15.75" customHeight="1" x14ac:dyDescent="0.25">
      <c r="B20" s="106">
        <f t="shared" si="2"/>
        <v>2032</v>
      </c>
      <c r="C20" s="306">
        <f t="shared" si="1"/>
        <v>0</v>
      </c>
      <c r="D20" s="71">
        <f>C20*(1+0.07)^-($B20-'Global Assumptions'!$C$6)</f>
        <v>0</v>
      </c>
      <c r="E20" s="301">
        <f>IF($B20=$I$11,'A_Harbor Improvements_Costs'!$J$31,0)</f>
        <v>0</v>
      </c>
      <c r="F20" s="71">
        <f>E20*(1+0.07)^-($B20-'Global Assumptions'!$C$6)</f>
        <v>0</v>
      </c>
      <c r="H20" s="8" t="s">
        <v>89</v>
      </c>
      <c r="I20" s="28">
        <v>12</v>
      </c>
      <c r="J20" s="62">
        <f>M8+M10</f>
        <v>425000</v>
      </c>
      <c r="K20" s="74"/>
    </row>
    <row r="21" spans="2:11" ht="15.75" customHeight="1" x14ac:dyDescent="0.25">
      <c r="B21" s="106">
        <f t="shared" si="2"/>
        <v>2033</v>
      </c>
      <c r="C21" s="306">
        <f t="shared" si="1"/>
        <v>0</v>
      </c>
      <c r="D21" s="71">
        <f>C21*(1+0.07)^-($B21-'Global Assumptions'!$C$6)</f>
        <v>0</v>
      </c>
      <c r="E21" s="301">
        <f>IF($B21=$I$11,'A_Harbor Improvements_Costs'!$J$31,0)</f>
        <v>0</v>
      </c>
      <c r="F21" s="71">
        <f>E21*(1+0.07)^-($B21-'Global Assumptions'!$C$6)</f>
        <v>0</v>
      </c>
      <c r="H21" s="396" t="s">
        <v>30</v>
      </c>
      <c r="I21" s="396"/>
      <c r="J21" s="26">
        <v>1826500</v>
      </c>
      <c r="K21" s="75"/>
    </row>
    <row r="22" spans="2:11" ht="15.75" customHeight="1" x14ac:dyDescent="0.25">
      <c r="B22" s="106">
        <f t="shared" si="2"/>
        <v>2034</v>
      </c>
      <c r="C22" s="306">
        <f t="shared" si="1"/>
        <v>0</v>
      </c>
      <c r="D22" s="71">
        <f>C22*(1+0.07)^-($B22-'Global Assumptions'!$C$6)</f>
        <v>0</v>
      </c>
      <c r="E22" s="301">
        <f>IF($B22=$I$11,'A_Harbor Improvements_Costs'!$J$31,0)</f>
        <v>1318668.867779165</v>
      </c>
      <c r="F22" s="71">
        <f>E22*(1+0.07)^-($B22-'Global Assumptions'!$C$6)</f>
        <v>477946.28235285543</v>
      </c>
    </row>
    <row r="23" spans="2:11" ht="15.75" customHeight="1" x14ac:dyDescent="0.25">
      <c r="B23" s="106">
        <f t="shared" si="2"/>
        <v>2035</v>
      </c>
      <c r="C23" s="306">
        <f t="shared" si="1"/>
        <v>0</v>
      </c>
      <c r="D23" s="71">
        <f>C23*(1+0.07)^-($B23-'Global Assumptions'!$C$6)</f>
        <v>0</v>
      </c>
      <c r="E23" s="301">
        <f>IF($B23=$I$11,'A_Harbor Improvements_Costs'!$J$31,0)</f>
        <v>0</v>
      </c>
      <c r="F23" s="71">
        <f>E23*(1+0.07)^-($B23-'Global Assumptions'!$C$6)</f>
        <v>0</v>
      </c>
    </row>
    <row r="24" spans="2:11" ht="15.75" customHeight="1" x14ac:dyDescent="0.25">
      <c r="B24" s="106">
        <f t="shared" si="2"/>
        <v>2036</v>
      </c>
      <c r="C24" s="306">
        <f t="shared" si="1"/>
        <v>0</v>
      </c>
      <c r="D24" s="71">
        <f>C24*(1+0.07)^-($B24-'Global Assumptions'!$C$6)</f>
        <v>0</v>
      </c>
      <c r="E24" s="301">
        <f>IF($B24=$I$11,'A_Harbor Improvements_Costs'!$J$31,0)</f>
        <v>0</v>
      </c>
      <c r="F24" s="71">
        <f>E24*(1+0.07)^-($B24-'Global Assumptions'!$C$6)</f>
        <v>0</v>
      </c>
      <c r="H24" s="101" t="s">
        <v>49</v>
      </c>
      <c r="I24" s="7"/>
      <c r="J24" s="124"/>
      <c r="K24" s="22"/>
    </row>
    <row r="25" spans="2:11" ht="15.75" customHeight="1" x14ac:dyDescent="0.25">
      <c r="B25" s="106">
        <f t="shared" si="2"/>
        <v>2037</v>
      </c>
      <c r="C25" s="306">
        <f t="shared" si="1"/>
        <v>0</v>
      </c>
      <c r="D25" s="71">
        <f>C25*(1+0.07)^-($B25-'Global Assumptions'!$C$6)</f>
        <v>0</v>
      </c>
      <c r="E25" s="301">
        <f>IF($B25=$I$11,'A_Harbor Improvements_Costs'!$J$31,0)</f>
        <v>0</v>
      </c>
      <c r="F25" s="71">
        <f>E25*(1+0.07)^-($B25-'Global Assumptions'!$C$6)</f>
        <v>0</v>
      </c>
      <c r="H25" s="397" t="s">
        <v>4</v>
      </c>
      <c r="I25" s="400" t="s">
        <v>21</v>
      </c>
      <c r="J25" s="400" t="s">
        <v>22</v>
      </c>
      <c r="K25" s="76"/>
    </row>
    <row r="26" spans="2:11" ht="15.75" customHeight="1" x14ac:dyDescent="0.25">
      <c r="B26" s="106">
        <f t="shared" si="2"/>
        <v>2038</v>
      </c>
      <c r="C26" s="306">
        <f t="shared" si="1"/>
        <v>0</v>
      </c>
      <c r="D26" s="71">
        <f>C26*(1+0.07)^-($B26-'Global Assumptions'!$C$6)</f>
        <v>0</v>
      </c>
      <c r="E26" s="301">
        <f>IF($B26=$I$11,'A_Harbor Improvements_Costs'!$J$31,0)</f>
        <v>0</v>
      </c>
      <c r="F26" s="71">
        <f>E26*(1+0.07)^-($B26-'Global Assumptions'!$C$6)</f>
        <v>0</v>
      </c>
      <c r="H26" s="398"/>
      <c r="I26" s="401"/>
      <c r="J26" s="401"/>
      <c r="K26" s="76"/>
    </row>
    <row r="27" spans="2:11" ht="15.75" customHeight="1" x14ac:dyDescent="0.25">
      <c r="B27" s="106">
        <f t="shared" si="2"/>
        <v>2039</v>
      </c>
      <c r="C27" s="306">
        <f t="shared" si="1"/>
        <v>0</v>
      </c>
      <c r="D27" s="71">
        <f>C27*(1+0.07)^-($B27-'Global Assumptions'!$C$6)</f>
        <v>0</v>
      </c>
      <c r="E27" s="301">
        <f>IF($B27=$I$11,'A_Harbor Improvements_Costs'!$J$31,0)</f>
        <v>0</v>
      </c>
      <c r="F27" s="71">
        <f>E27*(1+0.07)^-($B27-'Global Assumptions'!$C$6)</f>
        <v>0</v>
      </c>
      <c r="H27" s="399"/>
      <c r="I27" s="402"/>
      <c r="J27" s="402"/>
      <c r="K27" s="76"/>
    </row>
    <row r="28" spans="2:11" ht="15.75" customHeight="1" x14ac:dyDescent="0.25">
      <c r="B28" s="106">
        <f t="shared" si="2"/>
        <v>2040</v>
      </c>
      <c r="C28" s="306">
        <f t="shared" si="1"/>
        <v>0</v>
      </c>
      <c r="D28" s="71">
        <f>C28*(1+0.07)^-($B28-'Global Assumptions'!$C$6)</f>
        <v>0</v>
      </c>
      <c r="E28" s="301">
        <f>IF($B28=$I$11,'A_Harbor Improvements_Costs'!$J$31,0)</f>
        <v>0</v>
      </c>
      <c r="F28" s="71">
        <f>E28*(1+0.07)^-($B28-'Global Assumptions'!$C$6)</f>
        <v>0</v>
      </c>
      <c r="H28" s="153" t="s">
        <v>87</v>
      </c>
      <c r="I28" s="78">
        <v>0.97801105954199252</v>
      </c>
      <c r="J28" s="79">
        <f>$I28*J18</f>
        <v>978011.05954199249</v>
      </c>
      <c r="K28" s="77"/>
    </row>
    <row r="29" spans="2:11" ht="15.75" customHeight="1" x14ac:dyDescent="0.25">
      <c r="B29" s="106">
        <f t="shared" si="2"/>
        <v>2041</v>
      </c>
      <c r="C29" s="306">
        <f t="shared" si="1"/>
        <v>0</v>
      </c>
      <c r="D29" s="71">
        <f>C29*(1+0.07)^-($B29-'Global Assumptions'!$C$6)</f>
        <v>0</v>
      </c>
      <c r="E29" s="301">
        <f>IF($B29=$I$11,'A_Harbor Improvements_Costs'!$J$31,0)</f>
        <v>0</v>
      </c>
      <c r="F29" s="71">
        <f>E29*(1+0.07)^-($B29-'Global Assumptions'!$C$6)</f>
        <v>0</v>
      </c>
      <c r="H29" s="153" t="s">
        <v>88</v>
      </c>
      <c r="I29" s="78">
        <v>0.71717433313088952</v>
      </c>
      <c r="J29" s="79">
        <f>$I29*J19</f>
        <v>340657.80823717255</v>
      </c>
      <c r="K29" s="77"/>
    </row>
    <row r="30" spans="2:11" ht="15.75" customHeight="1" x14ac:dyDescent="0.25">
      <c r="B30" s="106">
        <f t="shared" si="2"/>
        <v>2042</v>
      </c>
      <c r="C30" s="306">
        <f t="shared" si="1"/>
        <v>0</v>
      </c>
      <c r="D30" s="71">
        <f>C30*(1+0.07)^-($B30-'Global Assumptions'!$C$6)</f>
        <v>0</v>
      </c>
      <c r="E30" s="301">
        <f>IF($B30=$I$11,'A_Harbor Improvements_Costs'!$J$31,0)</f>
        <v>0</v>
      </c>
      <c r="F30" s="71">
        <f>E30*(1+0.07)^-($B30-'Global Assumptions'!$C$6)</f>
        <v>0</v>
      </c>
      <c r="H30" s="153" t="s">
        <v>89</v>
      </c>
      <c r="I30" s="78">
        <v>0</v>
      </c>
      <c r="J30" s="79">
        <f>$I30*J20</f>
        <v>0</v>
      </c>
      <c r="K30" s="77"/>
    </row>
    <row r="31" spans="2:11" ht="15.75" customHeight="1" x14ac:dyDescent="0.25">
      <c r="B31" s="106">
        <f t="shared" si="2"/>
        <v>2043</v>
      </c>
      <c r="C31" s="306">
        <f t="shared" si="1"/>
        <v>0</v>
      </c>
      <c r="D31" s="71">
        <f>C31*(1+0.07)^-($B31-'Global Assumptions'!$C$6)</f>
        <v>0</v>
      </c>
      <c r="E31" s="301">
        <f>IF($B31=$I$11,'A_Harbor Improvements_Costs'!$J$31,0)</f>
        <v>0</v>
      </c>
      <c r="F31" s="71">
        <f>E31*(1+0.07)^-($B31-'Global Assumptions'!$C$6)</f>
        <v>0</v>
      </c>
      <c r="H31" s="388" t="s">
        <v>27</v>
      </c>
      <c r="I31" s="389"/>
      <c r="J31" s="27">
        <f>SUM(J28:J30)</f>
        <v>1318668.867779165</v>
      </c>
      <c r="K31" s="75"/>
    </row>
    <row r="32" spans="2:11" ht="15.75" customHeight="1" x14ac:dyDescent="0.25">
      <c r="B32" s="106">
        <f t="shared" si="2"/>
        <v>2044</v>
      </c>
      <c r="C32" s="306">
        <f t="shared" si="1"/>
        <v>0</v>
      </c>
      <c r="D32" s="71">
        <f>C32*(1+0.07)^-($B32-'Global Assumptions'!$C$6)</f>
        <v>0</v>
      </c>
      <c r="E32" s="301">
        <f>IF($B32=$I$11,'A_Harbor Improvements_Costs'!$J$31,0)</f>
        <v>0</v>
      </c>
      <c r="F32" s="71">
        <f>E32*(1+0.07)^-($B32-'Global Assumptions'!$C$6)</f>
        <v>0</v>
      </c>
    </row>
    <row r="33" spans="1:9" ht="15.75" customHeight="1" x14ac:dyDescent="0.25">
      <c r="B33" s="106">
        <f t="shared" si="2"/>
        <v>2045</v>
      </c>
      <c r="C33" s="306">
        <f t="shared" si="1"/>
        <v>0</v>
      </c>
      <c r="D33" s="71">
        <f>C33*(1+0.07)^-($B33-'Global Assumptions'!$C$6)</f>
        <v>0</v>
      </c>
      <c r="E33" s="301">
        <f>IF($B33=$I$11,'A_Harbor Improvements_Costs'!$J$31,0)</f>
        <v>0</v>
      </c>
      <c r="F33" s="71">
        <f>E33*(1+0.07)^-($B33-'Global Assumptions'!$C$6)</f>
        <v>0</v>
      </c>
    </row>
    <row r="34" spans="1:9" ht="15.75" customHeight="1" x14ac:dyDescent="0.25">
      <c r="B34" s="106">
        <f t="shared" si="2"/>
        <v>2046</v>
      </c>
      <c r="C34" s="306">
        <f t="shared" si="1"/>
        <v>0</v>
      </c>
      <c r="D34" s="71">
        <f>C34*(1+0.07)^-($B34-'Global Assumptions'!$C$6)</f>
        <v>0</v>
      </c>
      <c r="E34" s="301">
        <f>IF($B34=$I$11,'A_Harbor Improvements_Costs'!$J$31,0)</f>
        <v>0</v>
      </c>
      <c r="F34" s="71">
        <f>E34*(1+0.07)^-($B34-'Global Assumptions'!$C$6)</f>
        <v>0</v>
      </c>
    </row>
    <row r="35" spans="1:9" ht="15.75" customHeight="1" x14ac:dyDescent="0.25">
      <c r="B35" s="106">
        <f t="shared" si="2"/>
        <v>2047</v>
      </c>
      <c r="C35" s="306">
        <f t="shared" si="1"/>
        <v>0</v>
      </c>
      <c r="D35" s="71">
        <f>C35*(1+0.07)^-($B35-'Global Assumptions'!$C$6)</f>
        <v>0</v>
      </c>
      <c r="E35" s="301">
        <f>IF($B35=$I$11,'A_Harbor Improvements_Costs'!$J$31,0)</f>
        <v>0</v>
      </c>
      <c r="F35" s="71">
        <f>E35*(1+0.07)^-($B35-'Global Assumptions'!$C$6)</f>
        <v>0</v>
      </c>
    </row>
    <row r="36" spans="1:9" ht="15.75" customHeight="1" x14ac:dyDescent="0.25">
      <c r="B36" s="106">
        <f t="shared" si="2"/>
        <v>2048</v>
      </c>
      <c r="C36" s="306">
        <f t="shared" si="1"/>
        <v>0</v>
      </c>
      <c r="D36" s="71">
        <f>C36*(1+0.07)^-($B36-'Global Assumptions'!$C$6)</f>
        <v>0</v>
      </c>
      <c r="E36" s="301">
        <f>IF($B36=$I$11,'A_Harbor Improvements_Costs'!$J$31,0)</f>
        <v>0</v>
      </c>
      <c r="F36" s="71">
        <f>E36*(1+0.07)^-($B36-'Global Assumptions'!$C$6)</f>
        <v>0</v>
      </c>
    </row>
    <row r="37" spans="1:9" ht="15.75" customHeight="1" x14ac:dyDescent="0.25">
      <c r="B37" s="106">
        <f t="shared" si="2"/>
        <v>2049</v>
      </c>
      <c r="C37" s="306">
        <f t="shared" si="1"/>
        <v>0</v>
      </c>
      <c r="D37" s="71">
        <f>C37*(1+0.07)^-($B37-'Global Assumptions'!$C$6)</f>
        <v>0</v>
      </c>
      <c r="E37" s="301">
        <f>IF($B37=$I$11,'A_Harbor Improvements_Costs'!$J$31,0)</f>
        <v>0</v>
      </c>
      <c r="F37" s="71">
        <f>E37*(1+0.07)^-($B37-'Global Assumptions'!$C$6)</f>
        <v>0</v>
      </c>
    </row>
    <row r="38" spans="1:9" ht="15.75" customHeight="1" x14ac:dyDescent="0.25">
      <c r="B38" s="106">
        <f t="shared" si="2"/>
        <v>2050</v>
      </c>
      <c r="C38" s="306">
        <f t="shared" si="1"/>
        <v>0</v>
      </c>
      <c r="D38" s="71">
        <f>C38*(1+0.07)^-($B38-'Global Assumptions'!$C$6)</f>
        <v>0</v>
      </c>
      <c r="E38" s="301">
        <f>IF($B38=$I$11,'A_Harbor Improvements_Costs'!$J$31,0)</f>
        <v>0</v>
      </c>
      <c r="F38" s="71">
        <f>E38*(1+0.07)^-($B38-'Global Assumptions'!$C$6)</f>
        <v>0</v>
      </c>
    </row>
    <row r="39" spans="1:9" ht="15.75" customHeight="1" x14ac:dyDescent="0.25">
      <c r="B39" s="106">
        <f t="shared" si="2"/>
        <v>2051</v>
      </c>
      <c r="C39" s="306">
        <f t="shared" si="1"/>
        <v>0</v>
      </c>
      <c r="D39" s="71">
        <f>C39*(1+0.07)^-($B39-'Global Assumptions'!$C$6)</f>
        <v>0</v>
      </c>
      <c r="E39" s="301">
        <f>IF($B39=$I$11,'A_Harbor Improvements_Costs'!$J$31,0)</f>
        <v>0</v>
      </c>
      <c r="F39" s="71">
        <f>E39*(1+0.07)^-($B39-'Global Assumptions'!$C$6)</f>
        <v>0</v>
      </c>
      <c r="G39" s="14"/>
    </row>
    <row r="40" spans="1:9" ht="15.75" customHeight="1" x14ac:dyDescent="0.25">
      <c r="B40" s="106">
        <f t="shared" si="2"/>
        <v>2052</v>
      </c>
      <c r="C40" s="306">
        <f t="shared" si="1"/>
        <v>0</v>
      </c>
      <c r="D40" s="71">
        <f>C40*(1+0.07)^-($B40-'Global Assumptions'!$C$6)</f>
        <v>0</v>
      </c>
      <c r="E40" s="301">
        <f>IF($B40=$I$11,'A_Harbor Improvements_Costs'!$J$31,0)</f>
        <v>0</v>
      </c>
      <c r="F40" s="71">
        <f>E40*(1+0.07)^-($B40-'Global Assumptions'!$C$6)</f>
        <v>0</v>
      </c>
    </row>
    <row r="41" spans="1:9" ht="15.75" customHeight="1" x14ac:dyDescent="0.25">
      <c r="B41" s="106">
        <f t="shared" si="2"/>
        <v>2053</v>
      </c>
      <c r="C41" s="306">
        <f t="shared" si="1"/>
        <v>0</v>
      </c>
      <c r="D41" s="71">
        <f>C41*(1+0.07)^-($B41-'Global Assumptions'!$C$6)</f>
        <v>0</v>
      </c>
      <c r="E41" s="301">
        <f>IF($B41=$I$11,'A_Harbor Improvements_Costs'!$J$31,0)</f>
        <v>0</v>
      </c>
      <c r="F41" s="71">
        <f>E41*(1+0.07)^-($B41-'Global Assumptions'!$C$6)</f>
        <v>0</v>
      </c>
    </row>
    <row r="42" spans="1:9" ht="15.75" customHeight="1" x14ac:dyDescent="0.25">
      <c r="B42" s="106">
        <f t="shared" si="2"/>
        <v>2054</v>
      </c>
      <c r="C42" s="306">
        <f t="shared" si="1"/>
        <v>0</v>
      </c>
      <c r="D42" s="71">
        <f>C42*(1+0.07)^-($B42-'Global Assumptions'!$C$6)</f>
        <v>0</v>
      </c>
      <c r="E42" s="301">
        <f>IF($B42=$I$11,'A_Harbor Improvements_Costs'!$J$31,0)</f>
        <v>0</v>
      </c>
      <c r="F42" s="71">
        <f>E42*(1+0.07)^-($B42-'Global Assumptions'!$C$6)</f>
        <v>0</v>
      </c>
    </row>
    <row r="43" spans="1:9" ht="15.75" customHeight="1" x14ac:dyDescent="0.25">
      <c r="A43" s="14"/>
      <c r="B43" s="106">
        <f t="shared" si="2"/>
        <v>2055</v>
      </c>
      <c r="C43" s="306">
        <f t="shared" si="1"/>
        <v>0</v>
      </c>
      <c r="D43" s="71">
        <f>C43*(1+0.07)^-($B43-'Global Assumptions'!$C$6)</f>
        <v>0</v>
      </c>
      <c r="E43" s="301">
        <f>IF($B43=$I$11,'A_Harbor Improvements_Costs'!$J$31,0)</f>
        <v>0</v>
      </c>
      <c r="F43" s="71">
        <f>E43*(1+0.07)^-($B43-'Global Assumptions'!$C$6)</f>
        <v>0</v>
      </c>
    </row>
    <row r="44" spans="1:9" ht="15.75" customHeight="1" thickBot="1" x14ac:dyDescent="0.3">
      <c r="B44" s="107">
        <f t="shared" si="2"/>
        <v>2056</v>
      </c>
      <c r="C44" s="307">
        <f t="shared" si="1"/>
        <v>0</v>
      </c>
      <c r="D44" s="72">
        <f>C44*(1+0.07)^-($B44-'Global Assumptions'!$C$6)</f>
        <v>0</v>
      </c>
      <c r="E44" s="311">
        <f>IF($B44=$I$11,'A_Harbor Improvements_Costs'!$J$31,0)</f>
        <v>0</v>
      </c>
      <c r="F44" s="72">
        <f>E44*(1+0.07)^-($B44-'Global Assumptions'!$C$6)</f>
        <v>0</v>
      </c>
    </row>
    <row r="45" spans="1:9" ht="15.75" customHeight="1" thickBot="1" x14ac:dyDescent="0.3">
      <c r="C45" s="126" t="s">
        <v>63</v>
      </c>
      <c r="D45" s="92">
        <f>SUM(D7:D44)</f>
        <v>1490968.0721411409</v>
      </c>
      <c r="E45" s="126" t="s">
        <v>64</v>
      </c>
      <c r="F45" s="92">
        <f>SUM(F7:F44)</f>
        <v>477946.28235285543</v>
      </c>
    </row>
    <row r="46" spans="1:9" ht="15" customHeight="1" x14ac:dyDescent="0.25"/>
    <row r="48" spans="1:9" ht="15.75" thickBot="1" x14ac:dyDescent="0.3">
      <c r="B48" s="15" t="s">
        <v>3</v>
      </c>
      <c r="C48" s="14"/>
      <c r="D48" s="14"/>
      <c r="E48" s="14"/>
      <c r="F48" s="14"/>
      <c r="I48" s="101" t="s">
        <v>62</v>
      </c>
    </row>
    <row r="49" spans="1:10" ht="15.75" thickBot="1" x14ac:dyDescent="0.3">
      <c r="A49" s="96" t="s">
        <v>24</v>
      </c>
      <c r="B49" s="367" t="s">
        <v>277</v>
      </c>
      <c r="C49" s="367"/>
      <c r="D49" s="367"/>
      <c r="E49" s="367"/>
      <c r="F49" s="367"/>
      <c r="I49" s="11"/>
      <c r="J49" s="97" t="s">
        <v>39</v>
      </c>
    </row>
    <row r="50" spans="1:10" x14ac:dyDescent="0.25">
      <c r="B50" s="367"/>
      <c r="C50" s="367"/>
      <c r="D50" s="367"/>
      <c r="E50" s="367"/>
      <c r="F50" s="367"/>
      <c r="I50" s="12" t="s">
        <v>18</v>
      </c>
      <c r="J50" s="98">
        <f>A_Harbor_Improvements_Benefits!I37+F45</f>
        <v>2509568.9097465007</v>
      </c>
    </row>
    <row r="51" spans="1:10" ht="15" customHeight="1" thickBot="1" x14ac:dyDescent="0.3">
      <c r="B51" s="367"/>
      <c r="C51" s="367"/>
      <c r="D51" s="367"/>
      <c r="E51" s="367"/>
      <c r="F51" s="367"/>
      <c r="I51" s="13" t="s">
        <v>19</v>
      </c>
      <c r="J51" s="99">
        <f>D45</f>
        <v>1490968.0721411409</v>
      </c>
    </row>
    <row r="52" spans="1:10" ht="15.75" thickTop="1" x14ac:dyDescent="0.25">
      <c r="B52" s="367"/>
      <c r="C52" s="367"/>
      <c r="D52" s="367"/>
      <c r="E52" s="367"/>
      <c r="F52" s="367"/>
      <c r="I52" s="87" t="s">
        <v>20</v>
      </c>
      <c r="J52" s="88">
        <f>+J50/J51</f>
        <v>1.6831808518492104</v>
      </c>
    </row>
    <row r="53" spans="1:10" ht="15.75" thickBot="1" x14ac:dyDescent="0.3">
      <c r="B53" s="367"/>
      <c r="C53" s="367"/>
      <c r="D53" s="367"/>
      <c r="E53" s="367"/>
      <c r="F53" s="367"/>
      <c r="I53" s="89" t="s">
        <v>50</v>
      </c>
      <c r="J53" s="90">
        <f>J50-J51</f>
        <v>1018600.8376053597</v>
      </c>
    </row>
    <row r="54" spans="1:10" x14ac:dyDescent="0.25">
      <c r="A54" s="96"/>
      <c r="B54" s="112"/>
      <c r="C54" s="112"/>
      <c r="D54" s="112"/>
      <c r="E54" s="112"/>
      <c r="F54" s="112"/>
    </row>
    <row r="55" spans="1:10" ht="15" customHeight="1" x14ac:dyDescent="0.25">
      <c r="A55" s="96" t="s">
        <v>23</v>
      </c>
      <c r="B55" s="367" t="s">
        <v>52</v>
      </c>
      <c r="C55" s="367"/>
      <c r="D55" s="367"/>
      <c r="E55" s="367"/>
      <c r="F55" s="367"/>
    </row>
    <row r="56" spans="1:10" x14ac:dyDescent="0.25">
      <c r="A56" s="50"/>
      <c r="B56" s="367"/>
      <c r="C56" s="367"/>
      <c r="D56" s="367"/>
      <c r="E56" s="367"/>
      <c r="F56" s="367"/>
    </row>
    <row r="57" spans="1:10" x14ac:dyDescent="0.25">
      <c r="A57" s="50"/>
      <c r="B57" s="367"/>
      <c r="C57" s="367"/>
      <c r="D57" s="367"/>
      <c r="E57" s="367"/>
      <c r="F57" s="367"/>
    </row>
    <row r="58" spans="1:10" x14ac:dyDescent="0.25">
      <c r="A58" s="96"/>
      <c r="B58" s="367"/>
      <c r="C58" s="367"/>
      <c r="D58" s="367"/>
      <c r="E58" s="367"/>
      <c r="F58" s="367"/>
    </row>
    <row r="59" spans="1:10" x14ac:dyDescent="0.25">
      <c r="B59" s="367"/>
      <c r="C59" s="367"/>
      <c r="D59" s="367"/>
      <c r="E59" s="367"/>
      <c r="F59" s="367"/>
    </row>
    <row r="60" spans="1:10" x14ac:dyDescent="0.25">
      <c r="B60" s="367"/>
      <c r="C60" s="367"/>
      <c r="D60" s="367"/>
      <c r="E60" s="367"/>
      <c r="F60" s="367"/>
    </row>
    <row r="61" spans="1:10" ht="15" customHeight="1" x14ac:dyDescent="0.25">
      <c r="A61" s="6"/>
      <c r="B61" s="367"/>
      <c r="C61" s="367"/>
      <c r="D61" s="367"/>
      <c r="E61" s="367"/>
      <c r="F61" s="367"/>
    </row>
    <row r="62" spans="1:10" x14ac:dyDescent="0.25">
      <c r="A62" s="50"/>
      <c r="B62" s="367"/>
      <c r="C62" s="367"/>
      <c r="D62" s="367"/>
      <c r="E62" s="367"/>
      <c r="F62" s="367"/>
    </row>
    <row r="63" spans="1:10" x14ac:dyDescent="0.25">
      <c r="B63" s="367"/>
      <c r="C63" s="367"/>
      <c r="D63" s="367"/>
      <c r="E63" s="367"/>
      <c r="F63" s="367"/>
    </row>
  </sheetData>
  <mergeCells count="15">
    <mergeCell ref="H31:I31"/>
    <mergeCell ref="B49:F53"/>
    <mergeCell ref="B55:F63"/>
    <mergeCell ref="I15:I17"/>
    <mergeCell ref="J15:J17"/>
    <mergeCell ref="H21:I21"/>
    <mergeCell ref="H25:H27"/>
    <mergeCell ref="I25:I27"/>
    <mergeCell ref="J25:J27"/>
    <mergeCell ref="H15:H17"/>
    <mergeCell ref="B5:B6"/>
    <mergeCell ref="C5:C6"/>
    <mergeCell ref="D5:D6"/>
    <mergeCell ref="E5:E6"/>
    <mergeCell ref="F5:F6"/>
  </mergeCells>
  <pageMargins left="0.25" right="0.25" top="0.75" bottom="0.75" header="0.3" footer="0.3"/>
  <pageSetup paperSize="119" scale="5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D210D-0B46-4657-A26A-4ADABCAED012}">
  <sheetPr>
    <tabColor rgb="FF00B050"/>
    <pageSetUpPr fitToPage="1"/>
  </sheetPr>
  <dimension ref="A1:AV78"/>
  <sheetViews>
    <sheetView view="pageBreakPreview" zoomScale="85" zoomScaleNormal="85" zoomScaleSheetLayoutView="85" workbookViewId="0">
      <selection activeCell="N48" sqref="N48"/>
    </sheetView>
  </sheetViews>
  <sheetFormatPr defaultColWidth="9.140625" defaultRowHeight="15" x14ac:dyDescent="0.25"/>
  <cols>
    <col min="1" max="1" width="3.7109375" style="100" customWidth="1"/>
    <col min="2" max="8" width="15.7109375" style="100" customWidth="1"/>
    <col min="9" max="9" width="15.7109375" style="150" customWidth="1"/>
    <col min="10" max="11" width="15.7109375" style="100" customWidth="1"/>
    <col min="12" max="12" width="5.7109375" style="100" customWidth="1"/>
    <col min="13" max="13" width="51.7109375" style="100" customWidth="1"/>
    <col min="14" max="14" width="15.5703125" style="100" customWidth="1"/>
    <col min="15" max="15" width="11.42578125" style="100" customWidth="1"/>
    <col min="16" max="16" width="11" style="100" customWidth="1"/>
    <col min="17" max="17" width="12" style="100" customWidth="1"/>
    <col min="18" max="22" width="9.140625" style="100"/>
    <col min="23" max="25" width="12.5703125" style="100" customWidth="1"/>
    <col min="26" max="26" width="87.85546875" style="100" bestFit="1" customWidth="1"/>
    <col min="27" max="27" width="23.7109375" style="100" bestFit="1" customWidth="1"/>
    <col min="28" max="28" width="37.5703125" style="100" bestFit="1" customWidth="1"/>
    <col min="29" max="29" width="44" style="100" bestFit="1" customWidth="1"/>
    <col min="30" max="30" width="36.7109375" style="100" bestFit="1" customWidth="1"/>
    <col min="31" max="31" width="37.5703125" style="100" bestFit="1" customWidth="1"/>
    <col min="32" max="32" width="38.85546875" style="100" bestFit="1" customWidth="1"/>
    <col min="33" max="33" width="34.42578125" style="100" bestFit="1" customWidth="1"/>
    <col min="34" max="34" width="37.28515625" style="100" bestFit="1" customWidth="1"/>
    <col min="35" max="35" width="9.140625" style="100"/>
    <col min="36" max="36" width="27.140625" style="100" bestFit="1" customWidth="1"/>
    <col min="37" max="37" width="6.85546875" style="100" bestFit="1" customWidth="1"/>
    <col min="38" max="38" width="7.140625" style="100" bestFit="1" customWidth="1"/>
    <col min="39" max="39" width="7.42578125" style="100" bestFit="1" customWidth="1"/>
    <col min="40" max="40" width="7.7109375" style="100" bestFit="1" customWidth="1"/>
    <col min="41" max="41" width="8" style="100" bestFit="1" customWidth="1"/>
    <col min="42" max="42" width="8.140625" style="100" bestFit="1" customWidth="1"/>
    <col min="43" max="43" width="7.140625" style="100" bestFit="1" customWidth="1"/>
    <col min="44" max="44" width="7.42578125" style="100" bestFit="1" customWidth="1"/>
    <col min="45" max="45" width="7.7109375" style="100" bestFit="1" customWidth="1"/>
    <col min="46" max="46" width="6.85546875" style="100" bestFit="1" customWidth="1"/>
    <col min="47" max="47" width="7.140625" style="100" bestFit="1" customWidth="1"/>
    <col min="48" max="48" width="7.42578125" style="100" bestFit="1" customWidth="1"/>
    <col min="49" max="16384" width="9.140625" style="100"/>
  </cols>
  <sheetData>
    <row r="1" spans="1:48" x14ac:dyDescent="0.25">
      <c r="A1" s="14"/>
      <c r="B1" s="14"/>
      <c r="C1" s="14"/>
      <c r="D1" s="14"/>
      <c r="E1" s="14"/>
      <c r="F1" s="14"/>
      <c r="G1" s="14"/>
      <c r="H1" s="14"/>
      <c r="I1" s="14"/>
      <c r="J1" s="14"/>
      <c r="K1" s="14"/>
      <c r="Z1" s="403" t="s">
        <v>151</v>
      </c>
      <c r="AA1" s="403"/>
      <c r="AB1" s="190"/>
      <c r="AC1" s="150"/>
      <c r="AD1" s="150"/>
      <c r="AE1" s="150"/>
      <c r="AF1" s="150"/>
      <c r="AG1" s="150"/>
      <c r="AH1" s="150"/>
      <c r="AI1" s="150"/>
      <c r="AJ1" s="158"/>
      <c r="AK1" s="150"/>
      <c r="AL1" s="150"/>
      <c r="AM1" s="150"/>
      <c r="AN1" s="150"/>
      <c r="AO1" s="150"/>
      <c r="AP1" s="150"/>
      <c r="AQ1" s="150"/>
      <c r="AR1" s="150"/>
      <c r="AS1" s="150"/>
      <c r="AT1" s="150"/>
      <c r="AU1" s="150"/>
      <c r="AV1" s="150"/>
    </row>
    <row r="2" spans="1:48" x14ac:dyDescent="0.25">
      <c r="B2" s="101"/>
      <c r="Z2" s="56" t="s">
        <v>189</v>
      </c>
      <c r="AA2" s="56" t="s">
        <v>190</v>
      </c>
      <c r="AB2" s="191"/>
      <c r="AC2" s="150"/>
      <c r="AD2" s="150"/>
      <c r="AI2" s="150"/>
      <c r="AJ2" s="158"/>
      <c r="AK2" s="150"/>
      <c r="AL2" s="150"/>
      <c r="AM2" s="150"/>
      <c r="AN2" s="150"/>
      <c r="AO2" s="150"/>
      <c r="AP2" s="150"/>
      <c r="AQ2" s="150"/>
      <c r="AR2" s="150"/>
      <c r="AS2" s="150"/>
      <c r="AT2" s="150"/>
      <c r="AU2" s="150"/>
      <c r="AV2" s="150"/>
    </row>
    <row r="3" spans="1:48" x14ac:dyDescent="0.25">
      <c r="B3" s="101"/>
      <c r="Z3" s="191">
        <f>17.9*1.67</f>
        <v>29.892999999999997</v>
      </c>
      <c r="AA3" s="58">
        <v>30.8</v>
      </c>
      <c r="AB3" s="58"/>
      <c r="AC3" s="150"/>
      <c r="AD3" s="150"/>
      <c r="AI3" s="150"/>
      <c r="AJ3" s="158"/>
      <c r="AK3" s="150"/>
      <c r="AL3" s="150"/>
      <c r="AM3" s="150"/>
      <c r="AN3" s="150"/>
      <c r="AO3" s="150"/>
      <c r="AP3" s="150"/>
      <c r="AQ3" s="150"/>
      <c r="AR3" s="150"/>
      <c r="AS3" s="150"/>
      <c r="AT3" s="150"/>
      <c r="AU3" s="150"/>
      <c r="AV3" s="150"/>
    </row>
    <row r="4" spans="1:48" ht="15.75" thickBot="1" x14ac:dyDescent="0.3">
      <c r="C4" s="102"/>
      <c r="D4" s="113"/>
      <c r="E4" s="113"/>
      <c r="F4" s="113"/>
      <c r="G4" s="113"/>
      <c r="H4" s="113"/>
      <c r="I4" s="113"/>
      <c r="J4" s="113"/>
      <c r="K4" s="113"/>
      <c r="N4" s="56"/>
      <c r="Z4" s="56"/>
      <c r="AA4" s="58"/>
      <c r="AB4" s="58"/>
      <c r="AC4" s="150"/>
      <c r="AD4" s="150"/>
      <c r="AI4" s="150"/>
      <c r="AJ4" s="158"/>
      <c r="AK4" s="150"/>
      <c r="AL4" s="150"/>
      <c r="AM4" s="150"/>
      <c r="AN4" s="150"/>
      <c r="AO4" s="150"/>
      <c r="AP4" s="150"/>
      <c r="AQ4" s="150"/>
      <c r="AR4" s="150"/>
      <c r="AS4" s="150"/>
      <c r="AT4" s="150"/>
      <c r="AU4" s="150"/>
      <c r="AV4" s="150"/>
    </row>
    <row r="5" spans="1:48" ht="35.1" customHeight="1" x14ac:dyDescent="0.25">
      <c r="B5" s="372" t="s">
        <v>0</v>
      </c>
      <c r="C5" s="376" t="s">
        <v>103</v>
      </c>
      <c r="D5" s="374" t="s">
        <v>104</v>
      </c>
      <c r="E5" s="374" t="s">
        <v>114</v>
      </c>
      <c r="F5" s="374" t="s">
        <v>127</v>
      </c>
      <c r="G5" s="374" t="s">
        <v>126</v>
      </c>
      <c r="H5" s="374" t="s">
        <v>125</v>
      </c>
      <c r="I5" s="374" t="s">
        <v>192</v>
      </c>
      <c r="J5" s="376" t="s">
        <v>2</v>
      </c>
      <c r="K5" s="378" t="s">
        <v>1</v>
      </c>
      <c r="M5" s="56"/>
      <c r="O5" s="20"/>
      <c r="Z5" s="150"/>
      <c r="AA5" s="150"/>
      <c r="AB5" s="150"/>
      <c r="AC5" s="150"/>
      <c r="AD5" s="150"/>
      <c r="AE5" s="150"/>
      <c r="AF5" s="150"/>
      <c r="AG5" s="150"/>
      <c r="AH5" s="150"/>
      <c r="AI5" s="150"/>
      <c r="AJ5" s="158"/>
      <c r="AK5" s="150"/>
      <c r="AL5" s="150"/>
      <c r="AM5" s="150"/>
      <c r="AN5" s="150"/>
      <c r="AO5" s="150"/>
      <c r="AP5" s="150"/>
      <c r="AQ5" s="150"/>
      <c r="AR5" s="150"/>
      <c r="AS5" s="150"/>
      <c r="AT5" s="150"/>
      <c r="AU5" s="150"/>
      <c r="AV5" s="150"/>
    </row>
    <row r="6" spans="1:48" ht="43.5" customHeight="1" thickBot="1" x14ac:dyDescent="0.3">
      <c r="B6" s="373"/>
      <c r="C6" s="377"/>
      <c r="D6" s="375"/>
      <c r="E6" s="375"/>
      <c r="F6" s="375"/>
      <c r="G6" s="375"/>
      <c r="H6" s="375"/>
      <c r="I6" s="375"/>
      <c r="J6" s="377"/>
      <c r="K6" s="379"/>
      <c r="M6" s="368" t="s">
        <v>135</v>
      </c>
      <c r="N6" s="368"/>
      <c r="O6" s="41"/>
      <c r="Z6" s="150"/>
      <c r="AA6" s="150"/>
      <c r="AB6" s="150"/>
      <c r="AC6" s="150"/>
      <c r="AD6" s="150"/>
      <c r="AE6" s="150"/>
      <c r="AF6" s="150"/>
      <c r="AG6" s="150"/>
      <c r="AH6" s="150"/>
      <c r="AI6" s="150"/>
      <c r="AJ6" s="158"/>
      <c r="AK6" s="150"/>
      <c r="AL6" s="150"/>
      <c r="AM6" s="150"/>
      <c r="AN6" s="150"/>
      <c r="AO6" s="150"/>
      <c r="AP6" s="150"/>
      <c r="AQ6" s="150"/>
      <c r="AR6" s="150"/>
      <c r="AS6" s="150"/>
      <c r="AT6" s="150"/>
      <c r="AU6" s="150"/>
      <c r="AV6" s="150"/>
    </row>
    <row r="7" spans="1:48" ht="18" customHeight="1" x14ac:dyDescent="0.25">
      <c r="B7" s="1">
        <f>'B_Roadway Improvements_Costs'!I10</f>
        <v>2024</v>
      </c>
      <c r="C7" s="114">
        <f>IF($B7&gt;'B_Roadway Improvements_Costs'!$I$11,0,$N$32/20*$N$34/$N$33)</f>
        <v>473880.59701492533</v>
      </c>
      <c r="D7" s="115">
        <f>IF($B7&gt;'B_Roadway Improvements_Costs'!$I$11,0,$N$17*$N$18*$N$19)</f>
        <v>16466.666666666664</v>
      </c>
      <c r="E7" s="115">
        <f>IF($B7&gt;'B_Roadway Improvements_Costs'!$I$11,0,SUMPRODUCT($N$14:$R$14,$N$24:$R$24)*(1-$N$20)+SUMPRODUCT($N$14:$R$14,$N$25:$R$25)*(1-$N$20))/5</f>
        <v>30528</v>
      </c>
      <c r="F7" s="163">
        <f>IF($B7&gt;'B_Roadway Improvements_Costs'!$I$11,0,$N$37*$N$38*$N$39*$N$41*365*$N$42)</f>
        <v>548295.21943573665</v>
      </c>
      <c r="G7" s="115">
        <f>IF($B7&gt;'B_Roadway Improvements_Costs'!$I$11,0,$N$37*$N$38*$N$39*$N$41*365*$N$7)</f>
        <v>422187.31896551722</v>
      </c>
      <c r="H7" s="163">
        <f>IF($B7&gt;'B_Roadway Improvements_Costs'!$I$11,0,$N$37*$N$38*$N$39*$N$40*365*$N$10)</f>
        <v>552681.58119122265</v>
      </c>
      <c r="I7" s="116">
        <f>IF($B7&gt;'B_Roadway Improvements_Costs'!$I$11,0,TREND($N$48:$O$48,$N$47:$O$47,B7)-TREND($N$49:$O$49,$N$47:$O$47,$B$7))</f>
        <v>31375.129334188765</v>
      </c>
      <c r="J7" s="80">
        <f>SUM(C7:I7)</f>
        <v>2075414.5126082574</v>
      </c>
      <c r="K7" s="83">
        <f>J7*(1+0.05)^-($B7-'Global Assumptions'!$C$6)</f>
        <v>1626141.5768969532</v>
      </c>
      <c r="M7" s="59" t="s">
        <v>40</v>
      </c>
      <c r="N7" s="60">
        <v>30.8</v>
      </c>
      <c r="O7" s="18"/>
      <c r="Z7" s="150"/>
      <c r="AA7" s="150"/>
      <c r="AB7" s="150"/>
      <c r="AC7" s="150"/>
      <c r="AD7" s="150"/>
      <c r="AE7" s="150"/>
      <c r="AF7" s="150"/>
      <c r="AG7" s="150"/>
      <c r="AH7" s="150"/>
      <c r="AI7" s="150"/>
      <c r="AJ7" s="158"/>
      <c r="AK7" s="150"/>
      <c r="AL7" s="150"/>
      <c r="AM7" s="150"/>
      <c r="AN7" s="150"/>
      <c r="AO7" s="150"/>
      <c r="AP7" s="150"/>
      <c r="AQ7" s="150"/>
      <c r="AR7" s="150"/>
      <c r="AS7" s="150"/>
      <c r="AT7" s="150"/>
      <c r="AU7" s="150"/>
      <c r="AV7" s="150"/>
    </row>
    <row r="8" spans="1:48" x14ac:dyDescent="0.25">
      <c r="B8" s="2">
        <f>B7+1</f>
        <v>2025</v>
      </c>
      <c r="C8" s="117">
        <f>IF($B8&gt;'B_Roadway Improvements_Costs'!$I$11,0,$N$32/20*$N$34/$N$33)</f>
        <v>473880.59701492533</v>
      </c>
      <c r="D8" s="118">
        <f>IF($B8&gt;'B_Roadway Improvements_Costs'!$I$11,0,$N$17*$N$18*$N$19)</f>
        <v>16466.666666666664</v>
      </c>
      <c r="E8" s="118">
        <f>IF($B8&gt;'B_Roadway Improvements_Costs'!$I$11,0,SUMPRODUCT($N$14:$R$14,$N$24:$R$24)*(1-$N$20)+SUMPRODUCT($N$14:$R$14,$N$25:$R$25)*(1-$N$20))/5</f>
        <v>30528</v>
      </c>
      <c r="F8" s="118">
        <f>IF($B8&gt;'B_Roadway Improvements_Costs'!$I$11,0,$N$37*$N$38*$N$39*$N$41*365*$N$42)</f>
        <v>548295.21943573665</v>
      </c>
      <c r="G8" s="118">
        <f>IF($B8&gt;'B_Roadway Improvements_Costs'!$I$11,0,$N$37*$N$38*$N$39*$N$41*365*$N$7)</f>
        <v>422187.31896551722</v>
      </c>
      <c r="H8" s="118">
        <f>IF($B8&gt;'B_Roadway Improvements_Costs'!$I$11,0,$N$37*$N$38*$N$39*$N$40*365*$N$10)</f>
        <v>552681.58119122265</v>
      </c>
      <c r="I8" s="119">
        <f>IF($B8&gt;'B_Roadway Improvements_Costs'!$I$11,0,TREND($N$48:$O$48,$N$47:$O$47,B8)-TREND($N$49:$O$49,$N$47:$O$47,$B$7))</f>
        <v>32343.281945061404</v>
      </c>
      <c r="J8" s="81">
        <f t="shared" ref="J8:J26" si="0">SUM(C8:I8)</f>
        <v>2076382.66521913</v>
      </c>
      <c r="K8" s="84">
        <f>J8*(1+0.07)^-($B8-'Global Assumptions'!$C$6)</f>
        <v>1383581.4426361723</v>
      </c>
      <c r="M8" s="53"/>
      <c r="N8" s="58"/>
      <c r="O8" s="17"/>
      <c r="Z8" s="150"/>
      <c r="AA8" s="150"/>
      <c r="AB8" s="150"/>
      <c r="AC8" s="150"/>
      <c r="AD8" s="150"/>
      <c r="AE8" s="192"/>
      <c r="AF8" s="193"/>
      <c r="AG8" s="193"/>
      <c r="AH8" s="150"/>
      <c r="AI8" s="150"/>
      <c r="AJ8" s="158"/>
      <c r="AK8" s="150"/>
      <c r="AL8" s="150"/>
      <c r="AM8" s="150"/>
      <c r="AN8" s="150"/>
      <c r="AO8" s="150"/>
      <c r="AP8" s="150"/>
      <c r="AQ8" s="150"/>
      <c r="AR8" s="150"/>
      <c r="AS8" s="150"/>
      <c r="AT8" s="150"/>
      <c r="AU8" s="150"/>
      <c r="AV8" s="150"/>
    </row>
    <row r="9" spans="1:48" x14ac:dyDescent="0.25">
      <c r="B9" s="2">
        <f t="shared" ref="B9:B36" si="1">B8+1</f>
        <v>2026</v>
      </c>
      <c r="C9" s="117">
        <f>IF($B9&gt;'B_Roadway Improvements_Costs'!$I$11,0,$N$32/20*$N$34/$N$33)</f>
        <v>473880.59701492533</v>
      </c>
      <c r="D9" s="118">
        <f>IF($B9&gt;'B_Roadway Improvements_Costs'!$I$11,0,$N$17*$N$18*$N$19)</f>
        <v>16466.666666666664</v>
      </c>
      <c r="E9" s="118">
        <f>IF($B9&gt;'B_Roadway Improvements_Costs'!$I$11,0,SUMPRODUCT($N$14:$R$14,$N$24:$R$24)*(1-$N$20)+SUMPRODUCT($N$14:$R$14,$N$25:$R$25)*(1-$N$20))/5</f>
        <v>30528</v>
      </c>
      <c r="F9" s="118">
        <f>IF($B9&gt;'B_Roadway Improvements_Costs'!$I$11,0,$N$37*$N$38*$N$39*$N$41*365*$N$42)</f>
        <v>548295.21943573665</v>
      </c>
      <c r="G9" s="118">
        <f>IF($B9&gt;'B_Roadway Improvements_Costs'!$I$11,0,$N$37*$N$38*$N$39*$N$41*365*$N$7)</f>
        <v>422187.31896551722</v>
      </c>
      <c r="H9" s="118">
        <f>IF($B9&gt;'B_Roadway Improvements_Costs'!$I$11,0,$N$37*$N$38*$N$39*$N$40*365*$N$10)</f>
        <v>552681.58119122265</v>
      </c>
      <c r="I9" s="119">
        <f>IF($B9&gt;'B_Roadway Improvements_Costs'!$I$11,0,TREND($N$48:$O$48,$N$47:$O$47,B9)-TREND($N$49:$O$49,$N$47:$O$47,$B$7))</f>
        <v>33311.434555933811</v>
      </c>
      <c r="J9" s="81">
        <f t="shared" si="0"/>
        <v>2077350.8178300024</v>
      </c>
      <c r="K9" s="84">
        <f>J9*(1+0.07)^-($B9-'Global Assumptions'!$C$6)</f>
        <v>1293669.6856073781</v>
      </c>
      <c r="M9" s="169" t="s">
        <v>112</v>
      </c>
      <c r="N9" s="58"/>
      <c r="O9" s="17"/>
      <c r="Z9" s="194" t="s">
        <v>152</v>
      </c>
      <c r="AA9" s="195"/>
      <c r="AB9" s="195"/>
      <c r="AC9" s="195"/>
      <c r="AD9" s="195"/>
      <c r="AE9" s="195"/>
      <c r="AF9" s="195"/>
      <c r="AG9" s="195"/>
      <c r="AH9" s="195"/>
      <c r="AI9" s="195"/>
      <c r="AJ9" s="195"/>
      <c r="AK9" s="195"/>
      <c r="AL9" s="195"/>
      <c r="AM9" s="195"/>
      <c r="AN9" s="195"/>
      <c r="AO9" s="195"/>
      <c r="AP9" s="195"/>
      <c r="AQ9" s="195"/>
      <c r="AR9" s="195"/>
      <c r="AS9" s="195"/>
      <c r="AT9" s="195"/>
      <c r="AU9" s="195"/>
      <c r="AV9" s="195"/>
    </row>
    <row r="10" spans="1:48" x14ac:dyDescent="0.25">
      <c r="B10" s="2">
        <f t="shared" si="1"/>
        <v>2027</v>
      </c>
      <c r="C10" s="117">
        <f>IF($B10&gt;'B_Roadway Improvements_Costs'!$I$11,0,$N$32/20*$N$34/$N$33)</f>
        <v>473880.59701492533</v>
      </c>
      <c r="D10" s="118">
        <f>IF($B10&gt;'B_Roadway Improvements_Costs'!$I$11,0,$N$17*$N$18*$N$19)</f>
        <v>16466.666666666664</v>
      </c>
      <c r="E10" s="118">
        <f>IF($B10&gt;'B_Roadway Improvements_Costs'!$I$11,0,SUMPRODUCT($N$14:$R$14,$N$24:$R$24)*(1-$N$20)+SUMPRODUCT($N$14:$R$14,$N$25:$R$25)*(1-$N$20))/5</f>
        <v>30528</v>
      </c>
      <c r="F10" s="118">
        <f>IF($B10&gt;'B_Roadway Improvements_Costs'!$I$11,0,$N$37*$N$38*$N$39*$N$41*365*$N$42)</f>
        <v>548295.21943573665</v>
      </c>
      <c r="G10" s="118">
        <f>IF($B10&gt;'B_Roadway Improvements_Costs'!$I$11,0,$N$37*$N$38*$N$39*$N$41*365*$N$7)</f>
        <v>422187.31896551722</v>
      </c>
      <c r="H10" s="118">
        <f>IF($B10&gt;'B_Roadway Improvements_Costs'!$I$11,0,$N$37*$N$38*$N$39*$N$40*365*$N$10)</f>
        <v>552681.58119122265</v>
      </c>
      <c r="I10" s="119">
        <f>IF($B10&gt;'B_Roadway Improvements_Costs'!$I$11,0,TREND($N$48:$O$48,$N$47:$O$47,B10)-TREND($N$49:$O$49,$N$47:$O$47,$B$7))</f>
        <v>34279.58716680645</v>
      </c>
      <c r="J10" s="81">
        <f t="shared" si="0"/>
        <v>2078318.970440875</v>
      </c>
      <c r="K10" s="84">
        <f>J10*(1+0.07)^-($B10-'Global Assumptions'!$C$6)</f>
        <v>1209600.5629868263</v>
      </c>
      <c r="M10" s="59" t="s">
        <v>113</v>
      </c>
      <c r="N10" s="60">
        <v>0.96</v>
      </c>
      <c r="O10" s="17"/>
      <c r="Z10" s="194"/>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row>
    <row r="11" spans="1:48" x14ac:dyDescent="0.25">
      <c r="B11" s="2">
        <f t="shared" si="1"/>
        <v>2028</v>
      </c>
      <c r="C11" s="117">
        <f>IF($B11&gt;'B_Roadway Improvements_Costs'!$I$11,0,$N$32/20*$N$34/$N$33)</f>
        <v>473880.59701492533</v>
      </c>
      <c r="D11" s="118">
        <f>IF($B11&gt;'B_Roadway Improvements_Costs'!$I$11,0,$N$17*$N$18*$N$19)</f>
        <v>16466.666666666664</v>
      </c>
      <c r="E11" s="118">
        <f>IF($B11&gt;'B_Roadway Improvements_Costs'!$I$11,0,SUMPRODUCT($N$14:$R$14,$N$24:$R$24)*(1-$N$20)+SUMPRODUCT($N$14:$R$14,$N$25:$R$25)*(1-$N$20))/5</f>
        <v>30528</v>
      </c>
      <c r="F11" s="118">
        <f>IF($B11&gt;'B_Roadway Improvements_Costs'!$I$11,0,$N$37*$N$38*$N$39*$N$41*365*$N$42)</f>
        <v>548295.21943573665</v>
      </c>
      <c r="G11" s="118">
        <f>IF($B11&gt;'B_Roadway Improvements_Costs'!$I$11,0,$N$37*$N$38*$N$39*$N$41*365*$N$7)</f>
        <v>422187.31896551722</v>
      </c>
      <c r="H11" s="118">
        <f>IF($B11&gt;'B_Roadway Improvements_Costs'!$I$11,0,$N$37*$N$38*$N$39*$N$40*365*$N$10)</f>
        <v>552681.58119122265</v>
      </c>
      <c r="I11" s="119">
        <f>IF($B11&gt;'B_Roadway Improvements_Costs'!$I$11,0,TREND($N$48:$O$48,$N$47:$O$47,B11)-TREND($N$49:$O$49,$N$47:$O$47,$B$7))</f>
        <v>35247.739777678857</v>
      </c>
      <c r="J11" s="81">
        <f t="shared" si="0"/>
        <v>2079287.1230517474</v>
      </c>
      <c r="K11" s="84">
        <f>J11*(1+0.07)^-($B11-'Global Assumptions'!$C$6)</f>
        <v>1130994.4267485631</v>
      </c>
      <c r="L11" s="150"/>
      <c r="M11" s="53"/>
      <c r="N11" s="58"/>
      <c r="O11" s="155"/>
      <c r="P11" s="150"/>
      <c r="Q11" s="150"/>
      <c r="R11" s="150"/>
      <c r="S11" s="150"/>
      <c r="T11" s="150"/>
      <c r="U11" s="150"/>
      <c r="V11" s="150"/>
      <c r="W11" s="150"/>
      <c r="X11" s="150"/>
      <c r="Y11" s="150"/>
      <c r="Z11" s="196" t="s">
        <v>153</v>
      </c>
      <c r="AA11" s="196" t="s">
        <v>46</v>
      </c>
      <c r="AB11" s="196" t="s">
        <v>154</v>
      </c>
      <c r="AC11" s="196" t="s">
        <v>155</v>
      </c>
      <c r="AD11" s="196" t="s">
        <v>156</v>
      </c>
      <c r="AE11" s="196" t="s">
        <v>157</v>
      </c>
      <c r="AF11" s="196" t="s">
        <v>158</v>
      </c>
      <c r="AG11" s="196" t="s">
        <v>159</v>
      </c>
      <c r="AH11" s="196" t="s">
        <v>160</v>
      </c>
      <c r="AI11" s="196"/>
      <c r="AJ11" s="196" t="s">
        <v>161</v>
      </c>
      <c r="AK11" s="196" t="s">
        <v>162</v>
      </c>
      <c r="AL11" s="196" t="s">
        <v>163</v>
      </c>
      <c r="AM11" s="196" t="s">
        <v>164</v>
      </c>
      <c r="AN11" s="196" t="s">
        <v>165</v>
      </c>
      <c r="AO11" s="196" t="s">
        <v>166</v>
      </c>
      <c r="AP11" s="196" t="s">
        <v>167</v>
      </c>
      <c r="AQ11" s="196" t="s">
        <v>168</v>
      </c>
      <c r="AR11" s="196" t="s">
        <v>169</v>
      </c>
      <c r="AS11" s="196" t="s">
        <v>170</v>
      </c>
      <c r="AT11" s="196" t="s">
        <v>171</v>
      </c>
      <c r="AU11" s="196" t="s">
        <v>172</v>
      </c>
      <c r="AV11" s="196" t="s">
        <v>173</v>
      </c>
    </row>
    <row r="12" spans="1:48" ht="17.25" x14ac:dyDescent="0.25">
      <c r="B12" s="2">
        <f t="shared" si="1"/>
        <v>2029</v>
      </c>
      <c r="C12" s="117">
        <f>IF($B12&gt;'B_Roadway Improvements_Costs'!$I$11,0,$N$32/20*$N$34/$N$33)</f>
        <v>473880.59701492533</v>
      </c>
      <c r="D12" s="118">
        <f>IF($B12&gt;'B_Roadway Improvements_Costs'!$I$11,0,$N$17*$N$18*$N$19)</f>
        <v>16466.666666666664</v>
      </c>
      <c r="E12" s="118">
        <f>IF($B12&gt;'B_Roadway Improvements_Costs'!$I$11,0,SUMPRODUCT($N$14:$R$14,$N$24:$R$24)*(1-$N$20)+SUMPRODUCT($N$14:$R$14,$N$25:$R$25)*(1-$N$20))/5</f>
        <v>30528</v>
      </c>
      <c r="F12" s="118">
        <f>IF($B12&gt;'B_Roadway Improvements_Costs'!$I$11,0,$N$37*$N$38*$N$39*$N$41*365*$N$42)</f>
        <v>548295.21943573665</v>
      </c>
      <c r="G12" s="118">
        <f>IF($B12&gt;'B_Roadway Improvements_Costs'!$I$11,0,$N$37*$N$38*$N$39*$N$41*365*$N$7)</f>
        <v>422187.31896551722</v>
      </c>
      <c r="H12" s="118">
        <f>IF($B12&gt;'B_Roadway Improvements_Costs'!$I$11,0,$N$37*$N$38*$N$39*$N$40*365*$N$10)</f>
        <v>552681.58119122265</v>
      </c>
      <c r="I12" s="119">
        <f>IF($B12&gt;'B_Roadway Improvements_Costs'!$I$11,0,TREND($N$48:$O$48,$N$47:$O$47,B12)-TREND($N$49:$O$49,$N$47:$O$47,$B$7))</f>
        <v>36215.892388551263</v>
      </c>
      <c r="J12" s="81">
        <f t="shared" si="0"/>
        <v>2080255.2756626199</v>
      </c>
      <c r="K12" s="84">
        <f>J12*(1+0.07)^-($B12-'Global Assumptions'!$C$6)</f>
        <v>1057496.2968426051</v>
      </c>
      <c r="M12" s="169" t="s">
        <v>141</v>
      </c>
      <c r="N12" s="58"/>
      <c r="O12" s="17"/>
      <c r="Z12" s="404" t="s">
        <v>174</v>
      </c>
      <c r="AA12" s="158" t="s">
        <v>175</v>
      </c>
      <c r="AB12" s="197">
        <f>SUMPRODUCT($Z$3:$AA$3,AD12:AE12)</f>
        <v>29800.4355530625</v>
      </c>
      <c r="AC12" s="198">
        <f>365*AF12*AG12/(3600)</f>
        <v>994.625</v>
      </c>
      <c r="AD12" s="198">
        <f>AC12-AE12</f>
        <v>919.53081250000002</v>
      </c>
      <c r="AE12" s="199">
        <f>AC12*AH12/100</f>
        <v>75.094187500000004</v>
      </c>
      <c r="AF12" s="158">
        <f>SUM(AK12:AV12)</f>
        <v>900</v>
      </c>
      <c r="AG12" s="158">
        <v>10.9</v>
      </c>
      <c r="AH12" s="200">
        <f>SUMPRODUCT(AK12:AV12,AK13:AV13)/SUM(AK12:AV12)</f>
        <v>7.55</v>
      </c>
      <c r="AI12" s="201"/>
      <c r="AJ12" s="158" t="s">
        <v>176</v>
      </c>
      <c r="AK12" s="150">
        <v>10</v>
      </c>
      <c r="AL12" s="150">
        <v>15</v>
      </c>
      <c r="AM12" s="150">
        <v>0</v>
      </c>
      <c r="AN12" s="150">
        <v>35</v>
      </c>
      <c r="AO12" s="150">
        <v>5</v>
      </c>
      <c r="AP12" s="150">
        <v>300</v>
      </c>
      <c r="AQ12" s="150">
        <v>0</v>
      </c>
      <c r="AR12" s="150">
        <v>25</v>
      </c>
      <c r="AS12" s="150">
        <v>20</v>
      </c>
      <c r="AT12" s="150">
        <v>440</v>
      </c>
      <c r="AU12" s="150">
        <v>50</v>
      </c>
      <c r="AV12" s="150">
        <v>0</v>
      </c>
    </row>
    <row r="13" spans="1:48" x14ac:dyDescent="0.25">
      <c r="B13" s="2">
        <f t="shared" si="1"/>
        <v>2030</v>
      </c>
      <c r="C13" s="117">
        <f>IF($B13&gt;'B_Roadway Improvements_Costs'!$I$11,0,$N$32/20*$N$34/$N$33)</f>
        <v>473880.59701492533</v>
      </c>
      <c r="D13" s="118">
        <f>IF($B13&gt;'B_Roadway Improvements_Costs'!$I$11,0,$N$17*$N$18*$N$19)</f>
        <v>16466.666666666664</v>
      </c>
      <c r="E13" s="118">
        <f>IF($B13&gt;'B_Roadway Improvements_Costs'!$I$11,0,SUMPRODUCT($N$14:$R$14,$N$24:$R$24)*(1-$N$20)+SUMPRODUCT($N$14:$R$14,$N$25:$R$25)*(1-$N$20))/5</f>
        <v>30528</v>
      </c>
      <c r="F13" s="118">
        <f>IF($B13&gt;'B_Roadway Improvements_Costs'!$I$11,0,$N$37*$N$38*$N$39*$N$41*365*$N$42)</f>
        <v>548295.21943573665</v>
      </c>
      <c r="G13" s="118">
        <f>IF($B13&gt;'B_Roadway Improvements_Costs'!$I$11,0,$N$37*$N$38*$N$39*$N$41*365*$N$7)</f>
        <v>422187.31896551722</v>
      </c>
      <c r="H13" s="118">
        <f>IF($B13&gt;'B_Roadway Improvements_Costs'!$I$11,0,$N$37*$N$38*$N$39*$N$40*365*$N$10)</f>
        <v>552681.58119122265</v>
      </c>
      <c r="I13" s="119">
        <f>IF($B13&gt;'B_Roadway Improvements_Costs'!$I$11,0,TREND($N$48:$O$48,$N$47:$O$47,B13)-TREND($N$49:$O$49,$N$47:$O$47,$B$7))</f>
        <v>37184.044999423902</v>
      </c>
      <c r="J13" s="81">
        <f t="shared" si="0"/>
        <v>2081223.4282734925</v>
      </c>
      <c r="K13" s="84">
        <f>J13*(1+0.07)^-($B13-'Global Assumptions'!$C$6)</f>
        <v>988774.25844581344</v>
      </c>
      <c r="M13" s="180" t="s">
        <v>44</v>
      </c>
      <c r="N13" s="141" t="s">
        <v>35</v>
      </c>
      <c r="O13" s="141" t="s">
        <v>36</v>
      </c>
      <c r="P13" s="141" t="s">
        <v>37</v>
      </c>
      <c r="Q13" s="139" t="s">
        <v>38</v>
      </c>
      <c r="R13" s="139" t="s">
        <v>41</v>
      </c>
      <c r="Z13" s="404"/>
      <c r="AA13" s="158" t="s">
        <v>177</v>
      </c>
      <c r="AB13" s="197">
        <f>SUMPRODUCT($Z$3:$AA$3,AD13:AE13)</f>
        <v>19958.089865812501</v>
      </c>
      <c r="AC13" s="198">
        <f>365*AF13*AG13/(3600)</f>
        <v>666.125</v>
      </c>
      <c r="AD13" s="198">
        <f>AC13-AE13</f>
        <v>615.83256249999999</v>
      </c>
      <c r="AE13" s="199">
        <f>AC13*AH13/100</f>
        <v>50.292437499999998</v>
      </c>
      <c r="AF13" s="158">
        <f>AF12</f>
        <v>900</v>
      </c>
      <c r="AG13" s="158">
        <v>7.3</v>
      </c>
      <c r="AH13" s="200">
        <f>AH12</f>
        <v>7.55</v>
      </c>
      <c r="AI13" s="201"/>
      <c r="AJ13" s="158" t="s">
        <v>178</v>
      </c>
      <c r="AK13" s="150">
        <v>6</v>
      </c>
      <c r="AL13" s="150">
        <v>6</v>
      </c>
      <c r="AM13" s="150">
        <v>6</v>
      </c>
      <c r="AN13" s="150">
        <v>6</v>
      </c>
      <c r="AO13" s="150">
        <v>6</v>
      </c>
      <c r="AP13" s="150">
        <v>6</v>
      </c>
      <c r="AQ13" s="150">
        <v>37</v>
      </c>
      <c r="AR13" s="150">
        <v>37</v>
      </c>
      <c r="AS13" s="150">
        <v>37</v>
      </c>
      <c r="AT13" s="150">
        <v>6</v>
      </c>
      <c r="AU13" s="150">
        <v>6</v>
      </c>
      <c r="AV13" s="150">
        <v>6</v>
      </c>
    </row>
    <row r="14" spans="1:48" ht="15" customHeight="1" x14ac:dyDescent="0.25">
      <c r="B14" s="2">
        <f t="shared" si="1"/>
        <v>2031</v>
      </c>
      <c r="C14" s="117">
        <f>IF($B14&gt;'B_Roadway Improvements_Costs'!$I$11,0,$N$32/20*$N$34/$N$33)</f>
        <v>473880.59701492533</v>
      </c>
      <c r="D14" s="118">
        <f>IF($B14&gt;'B_Roadway Improvements_Costs'!$I$11,0,$N$17*$N$18*$N$19)</f>
        <v>16466.666666666664</v>
      </c>
      <c r="E14" s="118">
        <f>IF($B14&gt;'B_Roadway Improvements_Costs'!$I$11,0,SUMPRODUCT($N$14:$R$14,$N$24:$R$24)*(1-$N$20)+SUMPRODUCT($N$14:$R$14,$N$25:$R$25)*(1-$N$20))/5</f>
        <v>30528</v>
      </c>
      <c r="F14" s="118">
        <f>IF($B14&gt;'B_Roadway Improvements_Costs'!$I$11,0,$N$37*$N$38*$N$39*$N$41*365*$N$42)</f>
        <v>548295.21943573665</v>
      </c>
      <c r="G14" s="118">
        <f>IF($B14&gt;'B_Roadway Improvements_Costs'!$I$11,0,$N$37*$N$38*$N$39*$N$41*365*$N$7)</f>
        <v>422187.31896551722</v>
      </c>
      <c r="H14" s="118">
        <f>IF($B14&gt;'B_Roadway Improvements_Costs'!$I$11,0,$N$37*$N$38*$N$39*$N$40*365*$N$10)</f>
        <v>552681.58119122265</v>
      </c>
      <c r="I14" s="119">
        <f>IF($B14&gt;'B_Roadway Improvements_Costs'!$I$11,0,TREND($N$48:$O$48,$N$47:$O$47,B14)-TREND($N$49:$O$49,$N$47:$O$47,$B$7))</f>
        <v>38152.197610296309</v>
      </c>
      <c r="J14" s="81">
        <f t="shared" si="0"/>
        <v>2082191.5808843649</v>
      </c>
      <c r="K14" s="84">
        <f>J14*(1+0.07)^-($B14-'Global Assumptions'!$C$6)</f>
        <v>924517.96334303077</v>
      </c>
      <c r="M14" s="93" t="s">
        <v>29</v>
      </c>
      <c r="N14" s="142">
        <v>10900000</v>
      </c>
      <c r="O14" s="142">
        <v>521300</v>
      </c>
      <c r="P14" s="142">
        <v>142000</v>
      </c>
      <c r="Q14" s="142">
        <v>72500</v>
      </c>
      <c r="R14" s="142">
        <v>4500</v>
      </c>
      <c r="Z14" s="404" t="s">
        <v>179</v>
      </c>
      <c r="AA14" s="158" t="s">
        <v>175</v>
      </c>
      <c r="AB14" s="197">
        <f>SUMPRODUCT($Z$3:$AA$3,AD14:AE14)</f>
        <v>24641.319963263886</v>
      </c>
      <c r="AC14" s="198">
        <f>365*AF14*AG14/(3600)</f>
        <v>823.53125</v>
      </c>
      <c r="AD14" s="198">
        <f>AC14-AE14</f>
        <v>797.62131944444445</v>
      </c>
      <c r="AE14" s="199">
        <f>AC14*AH14/100</f>
        <v>25.909930555555558</v>
      </c>
      <c r="AF14" s="158">
        <f>SUM(AK14:AV14)</f>
        <v>855</v>
      </c>
      <c r="AG14" s="158">
        <v>9.5</v>
      </c>
      <c r="AH14" s="200">
        <f>SUMPRODUCT(AK14:AV14,AK15:AV15)/SUM(AK14:AV14)</f>
        <v>3.1461988304093569</v>
      </c>
      <c r="AI14" s="201"/>
      <c r="AJ14" s="158" t="s">
        <v>176</v>
      </c>
      <c r="AK14" s="150">
        <v>5</v>
      </c>
      <c r="AL14" s="150">
        <v>15</v>
      </c>
      <c r="AM14" s="150">
        <v>0</v>
      </c>
      <c r="AN14" s="150">
        <v>20</v>
      </c>
      <c r="AO14" s="150">
        <v>20</v>
      </c>
      <c r="AP14" s="150">
        <v>370</v>
      </c>
      <c r="AQ14" s="150">
        <v>5</v>
      </c>
      <c r="AR14" s="150">
        <v>45</v>
      </c>
      <c r="AS14" s="150">
        <v>30</v>
      </c>
      <c r="AT14" s="150">
        <v>320</v>
      </c>
      <c r="AU14" s="150">
        <v>20</v>
      </c>
      <c r="AV14" s="150">
        <v>5</v>
      </c>
    </row>
    <row r="15" spans="1:48" x14ac:dyDescent="0.25">
      <c r="B15" s="2">
        <f t="shared" si="1"/>
        <v>2032</v>
      </c>
      <c r="C15" s="117">
        <f>IF($B15&gt;'B_Roadway Improvements_Costs'!$I$11,0,$N$32/20*$N$34/$N$33)</f>
        <v>473880.59701492533</v>
      </c>
      <c r="D15" s="118">
        <f>IF($B15&gt;'B_Roadway Improvements_Costs'!$I$11,0,$N$17*$N$18*$N$19)</f>
        <v>16466.666666666664</v>
      </c>
      <c r="E15" s="118">
        <f>IF($B15&gt;'B_Roadway Improvements_Costs'!$I$11,0,SUMPRODUCT($N$14:$R$14,$N$24:$R$24)*(1-$N$20)+SUMPRODUCT($N$14:$R$14,$N$25:$R$25)*(1-$N$20))/5</f>
        <v>30528</v>
      </c>
      <c r="F15" s="118">
        <f>IF($B15&gt;'B_Roadway Improvements_Costs'!$I$11,0,$N$37*$N$38*$N$39*$N$41*365*$N$42)</f>
        <v>548295.21943573665</v>
      </c>
      <c r="G15" s="118">
        <f>IF($B15&gt;'B_Roadway Improvements_Costs'!$I$11,0,$N$37*$N$38*$N$39*$N$41*365*$N$7)</f>
        <v>422187.31896551722</v>
      </c>
      <c r="H15" s="118">
        <f>IF($B15&gt;'B_Roadway Improvements_Costs'!$I$11,0,$N$37*$N$38*$N$39*$N$40*365*$N$10)</f>
        <v>552681.58119122265</v>
      </c>
      <c r="I15" s="119">
        <f>IF($B15&gt;'B_Roadway Improvements_Costs'!$I$11,0,TREND($N$48:$O$48,$N$47:$O$47,B15)-TREND($N$49:$O$49,$N$47:$O$47,$B$7))</f>
        <v>39120.350221168948</v>
      </c>
      <c r="J15" s="81">
        <f t="shared" si="0"/>
        <v>2083159.7334952375</v>
      </c>
      <c r="K15" s="84">
        <f>J15*(1+0.07)^-($B15-'Global Assumptions'!$C$6)</f>
        <v>864437.22867348441</v>
      </c>
      <c r="M15" s="143"/>
      <c r="N15" s="42"/>
      <c r="O15" s="42"/>
      <c r="P15" s="42"/>
      <c r="Q15" s="42"/>
      <c r="R15" s="42"/>
      <c r="Z15" s="404"/>
      <c r="AA15" s="158" t="s">
        <v>177</v>
      </c>
      <c r="AB15" s="197">
        <f>SUMPRODUCT($Z$3:$AA$3,AD15:AE15)</f>
        <v>15822.321239569445</v>
      </c>
      <c r="AC15" s="198">
        <f>365*AF15*AG15/(3600)</f>
        <v>528.79375000000005</v>
      </c>
      <c r="AD15" s="198">
        <f>AC15-AE15</f>
        <v>512.15684722222227</v>
      </c>
      <c r="AE15" s="199">
        <f>AC15*AH15/100</f>
        <v>16.636902777777781</v>
      </c>
      <c r="AF15" s="158">
        <f>AF14</f>
        <v>855</v>
      </c>
      <c r="AG15" s="158">
        <v>6.1</v>
      </c>
      <c r="AH15" s="200">
        <f>AH14</f>
        <v>3.1461988304093569</v>
      </c>
      <c r="AI15" s="201"/>
      <c r="AJ15" s="158" t="s">
        <v>178</v>
      </c>
      <c r="AK15" s="150">
        <v>1</v>
      </c>
      <c r="AL15" s="150">
        <v>1</v>
      </c>
      <c r="AM15" s="150">
        <v>1</v>
      </c>
      <c r="AN15" s="150">
        <v>3</v>
      </c>
      <c r="AO15" s="150">
        <v>3</v>
      </c>
      <c r="AP15" s="150">
        <v>3</v>
      </c>
      <c r="AQ15" s="150">
        <v>1</v>
      </c>
      <c r="AR15" s="150">
        <v>1</v>
      </c>
      <c r="AS15" s="150">
        <v>1</v>
      </c>
      <c r="AT15" s="150">
        <v>4</v>
      </c>
      <c r="AU15" s="150">
        <v>4</v>
      </c>
      <c r="AV15" s="150"/>
    </row>
    <row r="16" spans="1:48" ht="17.25" x14ac:dyDescent="0.25">
      <c r="B16" s="2">
        <f t="shared" si="1"/>
        <v>2033</v>
      </c>
      <c r="C16" s="117">
        <f>IF($B16&gt;'B_Roadway Improvements_Costs'!$I$11,0,$N$32/20*$N$34/$N$33)</f>
        <v>473880.59701492533</v>
      </c>
      <c r="D16" s="118">
        <f>IF($B16&gt;'B_Roadway Improvements_Costs'!$I$11,0,$N$17*$N$18*$N$19)</f>
        <v>16466.666666666664</v>
      </c>
      <c r="E16" s="118">
        <f>IF($B16&gt;'B_Roadway Improvements_Costs'!$I$11,0,SUMPRODUCT($N$14:$R$14,$N$24:$R$24)*(1-$N$20)+SUMPRODUCT($N$14:$R$14,$N$25:$R$25)*(1-$N$20))/5</f>
        <v>30528</v>
      </c>
      <c r="F16" s="118">
        <f>IF($B16&gt;'B_Roadway Improvements_Costs'!$I$11,0,$N$37*$N$38*$N$39*$N$41*365*$N$42)</f>
        <v>548295.21943573665</v>
      </c>
      <c r="G16" s="118">
        <f>IF($B16&gt;'B_Roadway Improvements_Costs'!$I$11,0,$N$37*$N$38*$N$39*$N$41*365*$N$7)</f>
        <v>422187.31896551722</v>
      </c>
      <c r="H16" s="118">
        <f>IF($B16&gt;'B_Roadway Improvements_Costs'!$I$11,0,$N$37*$N$38*$N$39*$N$40*365*$N$10)</f>
        <v>552681.58119122265</v>
      </c>
      <c r="I16" s="119">
        <f>IF($B16&gt;'B_Roadway Improvements_Costs'!$I$11,0,TREND($N$48:$O$48,$N$47:$O$47,B16)-TREND($N$49:$O$49,$N$47:$O$47,$B$7))</f>
        <v>40088.502832041355</v>
      </c>
      <c r="J16" s="81">
        <f t="shared" si="0"/>
        <v>2084127.8861061099</v>
      </c>
      <c r="K16" s="84">
        <f>J16*(1+0.07)^-($B16-'Global Assumptions'!$C$6)</f>
        <v>808260.72671694111</v>
      </c>
      <c r="M16" s="138" t="s">
        <v>149</v>
      </c>
      <c r="P16" s="151" t="s">
        <v>132</v>
      </c>
      <c r="Z16" s="158"/>
      <c r="AA16" s="158"/>
      <c r="AB16" s="158"/>
      <c r="AC16" s="158"/>
      <c r="AD16" s="158"/>
      <c r="AE16" s="158"/>
      <c r="AF16" s="158"/>
      <c r="AG16" s="158"/>
      <c r="AH16" s="158"/>
      <c r="AI16" s="150"/>
      <c r="AJ16" s="158"/>
      <c r="AK16" s="150"/>
      <c r="AL16" s="150"/>
      <c r="AM16" s="150"/>
      <c r="AN16" s="150"/>
      <c r="AO16" s="150"/>
      <c r="AP16" s="150"/>
      <c r="AQ16" s="150"/>
      <c r="AR16" s="150"/>
      <c r="AS16" s="150"/>
      <c r="AT16" s="150"/>
      <c r="AU16" s="150"/>
      <c r="AV16" s="150"/>
    </row>
    <row r="17" spans="2:48" x14ac:dyDescent="0.25">
      <c r="B17" s="2">
        <f t="shared" si="1"/>
        <v>2034</v>
      </c>
      <c r="C17" s="117">
        <f>IF($B17&gt;'B_Roadway Improvements_Costs'!$I$11,0,$N$32/20*$N$34/$N$33)</f>
        <v>473880.59701492533</v>
      </c>
      <c r="D17" s="118">
        <f>IF($B17&gt;'B_Roadway Improvements_Costs'!$I$11,0,$N$17*$N$18*$N$19)</f>
        <v>16466.666666666664</v>
      </c>
      <c r="E17" s="118">
        <f>IF($B17&gt;'B_Roadway Improvements_Costs'!$I$11,0,SUMPRODUCT($N$14:$R$14,$N$24:$R$24)*(1-$N$20)+SUMPRODUCT($N$14:$R$14,$N$25:$R$25)*(1-$N$20))/5</f>
        <v>30528</v>
      </c>
      <c r="F17" s="118">
        <f>IF($B17&gt;'B_Roadway Improvements_Costs'!$I$11,0,$N$37*$N$38*$N$39*$N$41*365*$N$42)</f>
        <v>548295.21943573665</v>
      </c>
      <c r="G17" s="118">
        <f>IF($B17&gt;'B_Roadway Improvements_Costs'!$I$11,0,$N$37*$N$38*$N$39*$N$41*365*$N$7)</f>
        <v>422187.31896551722</v>
      </c>
      <c r="H17" s="118">
        <f>IF($B17&gt;'B_Roadway Improvements_Costs'!$I$11,0,$N$37*$N$38*$N$39*$N$40*365*$N$10)</f>
        <v>552681.58119122265</v>
      </c>
      <c r="I17" s="119">
        <f>IF($B17&gt;'B_Roadway Improvements_Costs'!$I$11,0,TREND($N$48:$O$48,$N$47:$O$47,B17)-TREND($N$49:$O$49,$N$47:$O$47,$B$7))</f>
        <v>41056.655442913761</v>
      </c>
      <c r="J17" s="81">
        <f t="shared" si="0"/>
        <v>2085096.0387169824</v>
      </c>
      <c r="K17" s="84">
        <f>J17*(1+0.07)^-($B17-'Global Assumptions'!$C$6)</f>
        <v>755734.75980502169</v>
      </c>
      <c r="M17" s="59" t="s">
        <v>95</v>
      </c>
      <c r="N17" s="176">
        <f>1/9</f>
        <v>0.1111111111111111</v>
      </c>
      <c r="O17" s="100" t="s">
        <v>136</v>
      </c>
      <c r="Z17" s="196" t="s">
        <v>153</v>
      </c>
      <c r="AA17" s="196" t="s">
        <v>46</v>
      </c>
      <c r="AB17" s="196" t="s">
        <v>154</v>
      </c>
      <c r="AC17" s="196" t="s">
        <v>180</v>
      </c>
      <c r="AD17" s="196" t="s">
        <v>181</v>
      </c>
      <c r="AE17" s="196" t="s">
        <v>182</v>
      </c>
      <c r="AF17" s="196" t="s">
        <v>158</v>
      </c>
      <c r="AG17" s="196" t="s">
        <v>159</v>
      </c>
      <c r="AH17" s="196" t="s">
        <v>160</v>
      </c>
      <c r="AI17" s="196"/>
      <c r="AJ17" s="196" t="s">
        <v>161</v>
      </c>
      <c r="AK17" s="150" t="s">
        <v>162</v>
      </c>
      <c r="AL17" s="150" t="s">
        <v>163</v>
      </c>
      <c r="AM17" s="150" t="s">
        <v>164</v>
      </c>
      <c r="AN17" s="150" t="s">
        <v>165</v>
      </c>
      <c r="AO17" s="150" t="s">
        <v>166</v>
      </c>
      <c r="AP17" s="150" t="s">
        <v>167</v>
      </c>
      <c r="AQ17" s="150" t="s">
        <v>168</v>
      </c>
      <c r="AR17" s="150" t="s">
        <v>169</v>
      </c>
      <c r="AS17" s="150" t="s">
        <v>170</v>
      </c>
      <c r="AT17" s="150" t="s">
        <v>171</v>
      </c>
      <c r="AU17" s="150" t="s">
        <v>172</v>
      </c>
      <c r="AV17" s="150" t="s">
        <v>173</v>
      </c>
    </row>
    <row r="18" spans="2:48" x14ac:dyDescent="0.25">
      <c r="B18" s="2">
        <f t="shared" si="1"/>
        <v>2035</v>
      </c>
      <c r="C18" s="117">
        <f>IF($B18&gt;'B_Roadway Improvements_Costs'!$I$11,0,$N$32/20*$N$34/$N$33)</f>
        <v>473880.59701492533</v>
      </c>
      <c r="D18" s="118">
        <f>IF($B18&gt;'B_Roadway Improvements_Costs'!$I$11,0,$N$17*$N$18*$N$19)</f>
        <v>16466.666666666664</v>
      </c>
      <c r="E18" s="118">
        <f>IF($B18&gt;'B_Roadway Improvements_Costs'!$I$11,0,SUMPRODUCT($N$14:$R$14,$N$24:$R$24)*(1-$N$20)+SUMPRODUCT($N$14:$R$14,$N$25:$R$25)*(1-$N$20))/5</f>
        <v>30528</v>
      </c>
      <c r="F18" s="118">
        <f>IF($B18&gt;'B_Roadway Improvements_Costs'!$I$11,0,$N$37*$N$38*$N$39*$N$41*365*$N$42)</f>
        <v>548295.21943573665</v>
      </c>
      <c r="G18" s="118">
        <f>IF($B18&gt;'B_Roadway Improvements_Costs'!$I$11,0,$N$37*$N$38*$N$39*$N$41*365*$N$7)</f>
        <v>422187.31896551722</v>
      </c>
      <c r="H18" s="118">
        <f>IF($B18&gt;'B_Roadway Improvements_Costs'!$I$11,0,$N$37*$N$38*$N$39*$N$40*365*$N$10)</f>
        <v>552681.58119122265</v>
      </c>
      <c r="I18" s="119">
        <f>IF($B18&gt;'B_Roadway Improvements_Costs'!$I$11,0,TREND($N$48:$O$48,$N$47:$O$47,B18)-TREND($N$49:$O$49,$N$47:$O$47,$B$7))</f>
        <v>42024.808053786401</v>
      </c>
      <c r="J18" s="81">
        <f t="shared" si="0"/>
        <v>2086064.191327855</v>
      </c>
      <c r="K18" s="84">
        <f>J18*(1+0.07)^-($B18-'Global Assumptions'!$C$6)</f>
        <v>706622.11482732615</v>
      </c>
      <c r="M18" s="59" t="s">
        <v>100</v>
      </c>
      <c r="N18" s="82">
        <v>197600</v>
      </c>
      <c r="Z18" s="404" t="s">
        <v>174</v>
      </c>
      <c r="AA18" s="158" t="s">
        <v>183</v>
      </c>
      <c r="AB18" s="197">
        <f>SUMPRODUCT($Z$3:$AA$3,AD18:AE18)</f>
        <v>41302.715801416663</v>
      </c>
      <c r="AC18" s="198">
        <f>365*AF18*AG18/(3600)</f>
        <v>1378.4833333333333</v>
      </c>
      <c r="AD18" s="198">
        <f>AC18-AE18</f>
        <v>1272.9557500000001</v>
      </c>
      <c r="AE18" s="199">
        <f>AC18*AH18/100</f>
        <v>105.52758333333333</v>
      </c>
      <c r="AF18" s="158">
        <f>SUM(AK18:AV18)</f>
        <v>1030</v>
      </c>
      <c r="AG18" s="158">
        <v>13.2</v>
      </c>
      <c r="AH18" s="200">
        <f>SUMPRODUCT(AK18:AV18,AK19:AV19)/SUM(AK18:AV18)</f>
        <v>7.6553398058252426</v>
      </c>
      <c r="AI18" s="201"/>
      <c r="AJ18" s="158" t="s">
        <v>176</v>
      </c>
      <c r="AK18" s="150">
        <v>10</v>
      </c>
      <c r="AL18" s="150">
        <v>15</v>
      </c>
      <c r="AM18" s="150">
        <v>0</v>
      </c>
      <c r="AN18" s="150">
        <v>40</v>
      </c>
      <c r="AO18" s="150">
        <v>5</v>
      </c>
      <c r="AP18" s="150">
        <v>345</v>
      </c>
      <c r="AQ18" s="150">
        <v>0</v>
      </c>
      <c r="AR18" s="150">
        <v>30</v>
      </c>
      <c r="AS18" s="150">
        <v>25</v>
      </c>
      <c r="AT18" s="150">
        <v>505</v>
      </c>
      <c r="AU18" s="150">
        <v>55</v>
      </c>
      <c r="AV18" s="150">
        <v>0</v>
      </c>
    </row>
    <row r="19" spans="2:48" x14ac:dyDescent="0.25">
      <c r="B19" s="2">
        <f t="shared" si="1"/>
        <v>2036</v>
      </c>
      <c r="C19" s="117">
        <f>IF($B19&gt;'B_Roadway Improvements_Costs'!$I$11,0,$N$32/20*$N$34/$N$33)</f>
        <v>473880.59701492533</v>
      </c>
      <c r="D19" s="118">
        <f>IF($B19&gt;'B_Roadway Improvements_Costs'!$I$11,0,$N$17*$N$18*$N$19)</f>
        <v>16466.666666666664</v>
      </c>
      <c r="E19" s="118">
        <f>IF($B19&gt;'B_Roadway Improvements_Costs'!$I$11,0,SUMPRODUCT($N$14:$R$14,$N$24:$R$24)*(1-$N$20)+SUMPRODUCT($N$14:$R$14,$N$25:$R$25)*(1-$N$20))/5</f>
        <v>30528</v>
      </c>
      <c r="F19" s="118">
        <f>IF($B19&gt;'B_Roadway Improvements_Costs'!$I$11,0,$N$37*$N$38*$N$39*$N$41*365*$N$42)</f>
        <v>548295.21943573665</v>
      </c>
      <c r="G19" s="118">
        <f>IF($B19&gt;'B_Roadway Improvements_Costs'!$I$11,0,$N$37*$N$38*$N$39*$N$41*365*$N$7)</f>
        <v>422187.31896551722</v>
      </c>
      <c r="H19" s="118">
        <f>IF($B19&gt;'B_Roadway Improvements_Costs'!$I$11,0,$N$37*$N$38*$N$39*$N$40*365*$N$10)</f>
        <v>552681.58119122265</v>
      </c>
      <c r="I19" s="119">
        <f>IF($B19&gt;'B_Roadway Improvements_Costs'!$I$11,0,TREND($N$48:$O$48,$N$47:$O$47,B19)-TREND($N$49:$O$49,$N$47:$O$47,$B$7))</f>
        <v>42992.960664658807</v>
      </c>
      <c r="J19" s="81">
        <f t="shared" si="0"/>
        <v>2087032.3439387274</v>
      </c>
      <c r="K19" s="84">
        <f>J19*(1+0.07)^-($B19-'Global Assumptions'!$C$6)</f>
        <v>660700.99216128583</v>
      </c>
      <c r="M19" s="59" t="s">
        <v>101</v>
      </c>
      <c r="N19" s="160">
        <v>0.75</v>
      </c>
      <c r="P19" s="66" t="s">
        <v>102</v>
      </c>
      <c r="Z19" s="404"/>
      <c r="AA19" s="158" t="s">
        <v>184</v>
      </c>
      <c r="AB19" s="197">
        <f>SUMPRODUCT($Z$3:$AA$3,AD19:AE19)</f>
        <v>25657.747694819438</v>
      </c>
      <c r="AC19" s="198">
        <f>365*AF19*AG19/(3600)</f>
        <v>856.33055555555541</v>
      </c>
      <c r="AD19" s="198">
        <f>AC19-AE19</f>
        <v>790.77554166666653</v>
      </c>
      <c r="AE19" s="199">
        <f>AC19*AH19/100</f>
        <v>65.55501388888888</v>
      </c>
      <c r="AF19" s="158">
        <f>AF18</f>
        <v>1030</v>
      </c>
      <c r="AG19" s="158">
        <v>8.1999999999999993</v>
      </c>
      <c r="AH19" s="200">
        <f>AH18</f>
        <v>7.6553398058252426</v>
      </c>
      <c r="AI19" s="201"/>
      <c r="AJ19" s="158" t="s">
        <v>178</v>
      </c>
      <c r="AK19" s="150">
        <v>6</v>
      </c>
      <c r="AL19" s="150">
        <v>6</v>
      </c>
      <c r="AM19" s="150">
        <v>6</v>
      </c>
      <c r="AN19" s="150">
        <v>6</v>
      </c>
      <c r="AO19" s="150">
        <v>6</v>
      </c>
      <c r="AP19" s="150">
        <v>6</v>
      </c>
      <c r="AQ19" s="150">
        <v>37</v>
      </c>
      <c r="AR19" s="150">
        <v>37</v>
      </c>
      <c r="AS19" s="150">
        <v>37</v>
      </c>
      <c r="AT19" s="150">
        <v>6</v>
      </c>
      <c r="AU19" s="150">
        <v>6</v>
      </c>
      <c r="AV19" s="150">
        <v>6</v>
      </c>
    </row>
    <row r="20" spans="2:48" x14ac:dyDescent="0.25">
      <c r="B20" s="2">
        <f t="shared" si="1"/>
        <v>2037</v>
      </c>
      <c r="C20" s="117">
        <f>IF($B20&gt;'B_Roadway Improvements_Costs'!$I$11,0,$N$32/20*$N$34/$N$33)</f>
        <v>473880.59701492533</v>
      </c>
      <c r="D20" s="118">
        <f>IF($B20&gt;'B_Roadway Improvements_Costs'!$I$11,0,$N$17*$N$18*$N$19)</f>
        <v>16466.666666666664</v>
      </c>
      <c r="E20" s="118">
        <f>IF($B20&gt;'B_Roadway Improvements_Costs'!$I$11,0,SUMPRODUCT($N$14:$R$14,$N$24:$R$24)*(1-$N$20)+SUMPRODUCT($N$14:$R$14,$N$25:$R$25)*(1-$N$20))/5</f>
        <v>30528</v>
      </c>
      <c r="F20" s="118">
        <f>IF($B20&gt;'B_Roadway Improvements_Costs'!$I$11,0,$N$37*$N$38*$N$39*$N$41*365*$N$42)</f>
        <v>548295.21943573665</v>
      </c>
      <c r="G20" s="118">
        <f>IF($B20&gt;'B_Roadway Improvements_Costs'!$I$11,0,$N$37*$N$38*$N$39*$N$41*365*$N$7)</f>
        <v>422187.31896551722</v>
      </c>
      <c r="H20" s="118">
        <f>IF($B20&gt;'B_Roadway Improvements_Costs'!$I$11,0,$N$37*$N$38*$N$39*$N$40*365*$N$10)</f>
        <v>552681.58119122265</v>
      </c>
      <c r="I20" s="119">
        <f>IF($B20&gt;'B_Roadway Improvements_Costs'!$I$11,0,TREND($N$48:$O$48,$N$47:$O$47,B20)-TREND($N$49:$O$49,$N$47:$O$47,$B$7))</f>
        <v>43961.113275531447</v>
      </c>
      <c r="J20" s="81">
        <f t="shared" si="0"/>
        <v>2088000.4965496</v>
      </c>
      <c r="K20" s="84">
        <f>J20*(1+0.07)^-($B20-'Global Assumptions'!$C$6)</f>
        <v>617764.00419060641</v>
      </c>
      <c r="M20" s="59" t="s">
        <v>117</v>
      </c>
      <c r="N20" s="160">
        <v>0.64</v>
      </c>
      <c r="P20" s="66" t="s">
        <v>118</v>
      </c>
      <c r="Z20" s="404" t="s">
        <v>179</v>
      </c>
      <c r="AA20" s="158" t="s">
        <v>183</v>
      </c>
      <c r="AB20" s="197">
        <f>SUMPRODUCT($Z$3:$AA$3,AD20:AE20)</f>
        <v>29123.901048611111</v>
      </c>
      <c r="AC20" s="198">
        <f>365*AF20*AG20/(3600)</f>
        <v>973.33333333333337</v>
      </c>
      <c r="AD20" s="198">
        <f>AC20-AE20</f>
        <v>942.40972222222229</v>
      </c>
      <c r="AE20" s="199">
        <f>AC20*AH20/100</f>
        <v>30.923611111111114</v>
      </c>
      <c r="AF20" s="158">
        <f>SUM(AK20:AV20)</f>
        <v>960</v>
      </c>
      <c r="AG20" s="158">
        <v>10</v>
      </c>
      <c r="AH20" s="200">
        <f>SUMPRODUCT(AK20:AV20,AK21:AV21)/SUM(AK20:AV20)</f>
        <v>3.1770833333333335</v>
      </c>
      <c r="AI20" s="201"/>
      <c r="AJ20" s="158" t="s">
        <v>176</v>
      </c>
      <c r="AK20" s="150">
        <v>5</v>
      </c>
      <c r="AL20" s="150">
        <v>15</v>
      </c>
      <c r="AM20" s="150">
        <v>0</v>
      </c>
      <c r="AN20" s="150">
        <v>20</v>
      </c>
      <c r="AO20" s="150">
        <v>20</v>
      </c>
      <c r="AP20" s="150">
        <v>420</v>
      </c>
      <c r="AQ20" s="150">
        <v>5</v>
      </c>
      <c r="AR20" s="150">
        <v>50</v>
      </c>
      <c r="AS20" s="150">
        <v>35</v>
      </c>
      <c r="AT20" s="150">
        <v>360</v>
      </c>
      <c r="AU20" s="150">
        <v>25</v>
      </c>
      <c r="AV20" s="150">
        <v>5</v>
      </c>
    </row>
    <row r="21" spans="2:48" x14ac:dyDescent="0.25">
      <c r="B21" s="2">
        <f t="shared" si="1"/>
        <v>2038</v>
      </c>
      <c r="C21" s="117">
        <f>IF($B21&gt;'B_Roadway Improvements_Costs'!$I$11,0,$N$32/20*$N$34/$N$33)</f>
        <v>473880.59701492533</v>
      </c>
      <c r="D21" s="118">
        <f>IF($B21&gt;'B_Roadway Improvements_Costs'!$I$11,0,$N$17*$N$18*$N$19)</f>
        <v>16466.666666666664</v>
      </c>
      <c r="E21" s="118">
        <f>IF($B21&gt;'B_Roadway Improvements_Costs'!$I$11,0,SUMPRODUCT($N$14:$R$14,$N$24:$R$24)*(1-$N$20)+SUMPRODUCT($N$14:$R$14,$N$25:$R$25)*(1-$N$20))/5</f>
        <v>30528</v>
      </c>
      <c r="F21" s="118">
        <f>IF($B21&gt;'B_Roadway Improvements_Costs'!$I$11,0,$N$37*$N$38*$N$39*$N$41*365*$N$42)</f>
        <v>548295.21943573665</v>
      </c>
      <c r="G21" s="118">
        <f>IF($B21&gt;'B_Roadway Improvements_Costs'!$I$11,0,$N$37*$N$38*$N$39*$N$41*365*$N$7)</f>
        <v>422187.31896551722</v>
      </c>
      <c r="H21" s="118">
        <f>IF($B21&gt;'B_Roadway Improvements_Costs'!$I$11,0,$N$37*$N$38*$N$39*$N$40*365*$N$10)</f>
        <v>552681.58119122265</v>
      </c>
      <c r="I21" s="119">
        <f>IF($B21&gt;'B_Roadway Improvements_Costs'!$I$11,0,TREND($N$48:$O$48,$N$47:$O$47,B21)-TREND($N$49:$O$49,$N$47:$O$47,$B$7))</f>
        <v>44929.265886403853</v>
      </c>
      <c r="J21" s="81">
        <f t="shared" si="0"/>
        <v>2088968.6491604724</v>
      </c>
      <c r="K21" s="84">
        <f>J21*(1+0.07)^-($B21-'Global Assumptions'!$C$6)</f>
        <v>577617.23889126745</v>
      </c>
      <c r="M21" s="53"/>
      <c r="O21" s="66"/>
      <c r="Z21" s="404"/>
      <c r="AA21" s="158" t="s">
        <v>184</v>
      </c>
      <c r="AB21" s="197">
        <f>SUMPRODUCT($Z$3:$AA$3,AD21:AE21)</f>
        <v>19221.774692083331</v>
      </c>
      <c r="AC21" s="198">
        <f>365*AF21*AG21/(3600)</f>
        <v>642.4</v>
      </c>
      <c r="AD21" s="198">
        <f>AC21-AE21</f>
        <v>621.99041666666665</v>
      </c>
      <c r="AE21" s="199">
        <f>AC21*AH21/100</f>
        <v>20.409583333333334</v>
      </c>
      <c r="AF21" s="158">
        <f>AF20</f>
        <v>960</v>
      </c>
      <c r="AG21" s="158">
        <v>6.6</v>
      </c>
      <c r="AH21" s="200">
        <f>AH20</f>
        <v>3.1770833333333335</v>
      </c>
      <c r="AI21" s="201"/>
      <c r="AJ21" s="158" t="s">
        <v>178</v>
      </c>
      <c r="AK21" s="150">
        <v>1</v>
      </c>
      <c r="AL21" s="150">
        <v>1</v>
      </c>
      <c r="AM21" s="150">
        <v>1</v>
      </c>
      <c r="AN21" s="150">
        <v>3</v>
      </c>
      <c r="AO21" s="150">
        <v>3</v>
      </c>
      <c r="AP21" s="150">
        <v>3</v>
      </c>
      <c r="AQ21" s="150">
        <v>1</v>
      </c>
      <c r="AR21" s="150">
        <v>1</v>
      </c>
      <c r="AS21" s="150">
        <v>1</v>
      </c>
      <c r="AT21" s="150">
        <v>4</v>
      </c>
      <c r="AU21" s="150">
        <v>4</v>
      </c>
      <c r="AV21" s="150">
        <v>4</v>
      </c>
    </row>
    <row r="22" spans="2:48" ht="17.25" x14ac:dyDescent="0.25">
      <c r="B22" s="2">
        <f t="shared" si="1"/>
        <v>2039</v>
      </c>
      <c r="C22" s="117">
        <f>IF($B22&gt;'B_Roadway Improvements_Costs'!$I$11,0,$N$32/20*$N$34/$N$33)</f>
        <v>473880.59701492533</v>
      </c>
      <c r="D22" s="118">
        <f>IF($B22&gt;'B_Roadway Improvements_Costs'!$I$11,0,$N$17*$N$18*$N$19)</f>
        <v>16466.666666666664</v>
      </c>
      <c r="E22" s="118">
        <f>IF($B22&gt;'B_Roadway Improvements_Costs'!$I$11,0,SUMPRODUCT($N$14:$R$14,$N$24:$R$24)*(1-$N$20)+SUMPRODUCT($N$14:$R$14,$N$25:$R$25)*(1-$N$20))/5</f>
        <v>30528</v>
      </c>
      <c r="F22" s="118">
        <f>IF($B22&gt;'B_Roadway Improvements_Costs'!$I$11,0,$N$37*$N$38*$N$39*$N$41*365*$N$42)</f>
        <v>548295.21943573665</v>
      </c>
      <c r="G22" s="118">
        <f>IF($B22&gt;'B_Roadway Improvements_Costs'!$I$11,0,$N$37*$N$38*$N$39*$N$41*365*$N$7)</f>
        <v>422187.31896551722</v>
      </c>
      <c r="H22" s="118">
        <f>IF($B22&gt;'B_Roadway Improvements_Costs'!$I$11,0,$N$37*$N$38*$N$39*$N$40*365*$N$10)</f>
        <v>552681.58119122265</v>
      </c>
      <c r="I22" s="119">
        <f>IF($B22&gt;'B_Roadway Improvements_Costs'!$I$11,0,TREND($N$48:$O$48,$N$47:$O$47,B22)-TREND($N$49:$O$49,$N$47:$O$47,$B$7))</f>
        <v>45897.41849727626</v>
      </c>
      <c r="J22" s="81">
        <f t="shared" si="0"/>
        <v>2089936.8017713448</v>
      </c>
      <c r="K22" s="84">
        <f>J22*(1+0.07)^-($B22-'Global Assumptions'!$C$6)</f>
        <v>540079.38425775687</v>
      </c>
      <c r="M22" s="138" t="s">
        <v>143</v>
      </c>
      <c r="O22" s="66"/>
      <c r="Z22" s="192"/>
      <c r="AA22" s="158"/>
      <c r="AB22" s="158"/>
      <c r="AC22" s="158"/>
      <c r="AD22" s="158"/>
      <c r="AE22" s="158"/>
      <c r="AF22" s="158"/>
      <c r="AG22" s="158"/>
      <c r="AH22" s="200"/>
      <c r="AI22" s="201"/>
      <c r="AJ22" s="158"/>
      <c r="AK22" s="150"/>
      <c r="AL22" s="150"/>
      <c r="AM22" s="150"/>
      <c r="AN22" s="150"/>
      <c r="AO22" s="150"/>
      <c r="AP22" s="150"/>
      <c r="AQ22" s="150"/>
      <c r="AR22" s="150"/>
      <c r="AS22" s="150"/>
      <c r="AT22" s="150"/>
      <c r="AU22" s="150"/>
      <c r="AV22" s="150"/>
    </row>
    <row r="23" spans="2:48" x14ac:dyDescent="0.25">
      <c r="B23" s="2">
        <f t="shared" si="1"/>
        <v>2040</v>
      </c>
      <c r="C23" s="117">
        <f>IF($B23&gt;'B_Roadway Improvements_Costs'!$I$11,0,$N$32/20*$N$34/$N$33)</f>
        <v>473880.59701492533</v>
      </c>
      <c r="D23" s="118">
        <f>IF($B23&gt;'B_Roadway Improvements_Costs'!$I$11,0,$N$17*$N$18*$N$19)</f>
        <v>16466.666666666664</v>
      </c>
      <c r="E23" s="118">
        <f>IF($B23&gt;'B_Roadway Improvements_Costs'!$I$11,0,SUMPRODUCT($N$14:$R$14,$N$24:$R$24)*(1-$N$20)+SUMPRODUCT($N$14:$R$14,$N$25:$R$25)*(1-$N$20))/5</f>
        <v>30528</v>
      </c>
      <c r="F23" s="118">
        <f>IF($B23&gt;'B_Roadway Improvements_Costs'!$I$11,0,$N$37*$N$38*$N$39*$N$41*365*$N$42)</f>
        <v>548295.21943573665</v>
      </c>
      <c r="G23" s="118">
        <f>IF($B23&gt;'B_Roadway Improvements_Costs'!$I$11,0,$N$37*$N$38*$N$39*$N$41*365*$N$7)</f>
        <v>422187.31896551722</v>
      </c>
      <c r="H23" s="118">
        <f>IF($B23&gt;'B_Roadway Improvements_Costs'!$I$11,0,$N$37*$N$38*$N$39*$N$40*365*$N$10)</f>
        <v>552681.58119122265</v>
      </c>
      <c r="I23" s="119">
        <f>IF($B23&gt;'B_Roadway Improvements_Costs'!$I$11,0,TREND($N$48:$O$48,$N$47:$O$47,B23)-TREND($N$49:$O$49,$N$47:$O$47,$B$7))</f>
        <v>46865.571108148899</v>
      </c>
      <c r="J23" s="81">
        <f t="shared" si="0"/>
        <v>2090904.9543822175</v>
      </c>
      <c r="K23" s="84">
        <f>J23*(1+0.07)^-($B23-'Global Assumptions'!$C$6)</f>
        <v>504980.90961685072</v>
      </c>
      <c r="M23" s="59" t="s">
        <v>45</v>
      </c>
      <c r="N23" s="141" t="s">
        <v>35</v>
      </c>
      <c r="O23" s="141" t="s">
        <v>36</v>
      </c>
      <c r="P23" s="141" t="s">
        <v>37</v>
      </c>
      <c r="Q23" s="139" t="s">
        <v>38</v>
      </c>
      <c r="R23" s="139" t="s">
        <v>41</v>
      </c>
      <c r="Z23" s="202"/>
      <c r="AA23" s="203"/>
      <c r="AB23" s="203"/>
      <c r="AC23" s="203"/>
      <c r="AD23" s="203"/>
      <c r="AE23" s="203"/>
      <c r="AF23" s="203"/>
      <c r="AG23" s="203"/>
      <c r="AH23" s="204"/>
      <c r="AI23" s="205"/>
      <c r="AJ23" s="203"/>
      <c r="AK23" s="206"/>
      <c r="AL23" s="206"/>
      <c r="AM23" s="206"/>
      <c r="AN23" s="206"/>
      <c r="AO23" s="206"/>
      <c r="AP23" s="206"/>
      <c r="AQ23" s="206"/>
      <c r="AR23" s="206"/>
      <c r="AS23" s="206"/>
      <c r="AT23" s="206"/>
      <c r="AU23" s="206"/>
      <c r="AV23" s="206"/>
    </row>
    <row r="24" spans="2:48" x14ac:dyDescent="0.25">
      <c r="B24" s="2">
        <f t="shared" si="1"/>
        <v>2041</v>
      </c>
      <c r="C24" s="117">
        <f>IF($B24&gt;'B_Roadway Improvements_Costs'!$I$11,0,$N$32/20*$N$34/$N$33)</f>
        <v>473880.59701492533</v>
      </c>
      <c r="D24" s="118">
        <f>IF($B24&gt;'B_Roadway Improvements_Costs'!$I$11,0,$N$17*$N$18*$N$19)</f>
        <v>16466.666666666664</v>
      </c>
      <c r="E24" s="118">
        <f>IF($B24&gt;'B_Roadway Improvements_Costs'!$I$11,0,SUMPRODUCT($N$14:$R$14,$N$24:$R$24)*(1-$N$20)+SUMPRODUCT($N$14:$R$14,$N$25:$R$25)*(1-$N$20))/5</f>
        <v>30528</v>
      </c>
      <c r="F24" s="118">
        <f>IF($B24&gt;'B_Roadway Improvements_Costs'!$I$11,0,$N$37*$N$38*$N$39*$N$41*365*$N$42)</f>
        <v>548295.21943573665</v>
      </c>
      <c r="G24" s="118">
        <f>IF($B24&gt;'B_Roadway Improvements_Costs'!$I$11,0,$N$37*$N$38*$N$39*$N$41*365*$N$7)</f>
        <v>422187.31896551722</v>
      </c>
      <c r="H24" s="118">
        <f>IF($B24&gt;'B_Roadway Improvements_Costs'!$I$11,0,$N$37*$N$38*$N$39*$N$40*365*$N$10)</f>
        <v>552681.58119122265</v>
      </c>
      <c r="I24" s="119">
        <f>IF($B24&gt;'B_Roadway Improvements_Costs'!$I$11,0,TREND($N$48:$O$48,$N$47:$O$47,B24)-TREND($N$49:$O$49,$N$47:$O$47,$B$7))</f>
        <v>47833.723719021305</v>
      </c>
      <c r="J24" s="81">
        <f t="shared" si="0"/>
        <v>2091873.1069930899</v>
      </c>
      <c r="K24" s="84">
        <f>J24*(1+0.07)^-($B24-'Global Assumptions'!$C$6)</f>
        <v>472163.30013302783</v>
      </c>
      <c r="M24" s="59" t="s">
        <v>115</v>
      </c>
      <c r="N24" s="94">
        <v>0</v>
      </c>
      <c r="O24" s="94">
        <v>0</v>
      </c>
      <c r="P24" s="94">
        <v>1</v>
      </c>
      <c r="Q24" s="94">
        <v>0</v>
      </c>
      <c r="R24" s="94">
        <v>13</v>
      </c>
      <c r="S24" s="103"/>
      <c r="Z24" s="158"/>
      <c r="AA24" s="158"/>
      <c r="AB24" s="158"/>
      <c r="AC24" s="158"/>
      <c r="AD24" s="158"/>
      <c r="AE24" s="158"/>
      <c r="AF24" s="158"/>
      <c r="AG24" s="158"/>
      <c r="AH24" s="158"/>
      <c r="AI24" s="150"/>
      <c r="AJ24" s="158"/>
      <c r="AK24" s="150"/>
      <c r="AL24" s="150"/>
      <c r="AM24" s="150"/>
      <c r="AN24" s="150"/>
      <c r="AO24" s="150"/>
      <c r="AP24" s="150"/>
      <c r="AQ24" s="150"/>
      <c r="AR24" s="150"/>
      <c r="AS24" s="150"/>
      <c r="AT24" s="150"/>
      <c r="AU24" s="150"/>
      <c r="AV24" s="150"/>
    </row>
    <row r="25" spans="2:48" x14ac:dyDescent="0.25">
      <c r="B25" s="2">
        <f t="shared" si="1"/>
        <v>2042</v>
      </c>
      <c r="C25" s="117">
        <f>IF($B25&gt;'B_Roadway Improvements_Costs'!$I$11,0,$N$32/20*$N$34/$N$33)</f>
        <v>473880.59701492533</v>
      </c>
      <c r="D25" s="118">
        <f>IF($B25&gt;'B_Roadway Improvements_Costs'!$I$11,0,$N$17*$N$18*$N$19)</f>
        <v>16466.666666666664</v>
      </c>
      <c r="E25" s="118">
        <f>IF($B25&gt;'B_Roadway Improvements_Costs'!$I$11,0,SUMPRODUCT($N$14:$R$14,$N$24:$R$24)*(1-$N$20)+SUMPRODUCT($N$14:$R$14,$N$25:$R$25)*(1-$N$20))/5</f>
        <v>30528</v>
      </c>
      <c r="F25" s="118">
        <f>IF($B25&gt;'B_Roadway Improvements_Costs'!$I$11,0,$N$37*$N$38*$N$39*$N$41*365*$N$42)</f>
        <v>548295.21943573665</v>
      </c>
      <c r="G25" s="118">
        <f>IF($B25&gt;'B_Roadway Improvements_Costs'!$I$11,0,$N$37*$N$38*$N$39*$N$41*365*$N$7)</f>
        <v>422187.31896551722</v>
      </c>
      <c r="H25" s="118">
        <f>IF($B25&gt;'B_Roadway Improvements_Costs'!$I$11,0,$N$37*$N$38*$N$39*$N$40*365*$N$10)</f>
        <v>552681.58119122265</v>
      </c>
      <c r="I25" s="119">
        <f>IF($B25&gt;'B_Roadway Improvements_Costs'!$I$11,0,TREND($N$48:$O$48,$N$47:$O$47,B25)-TREND($N$49:$O$49,$N$47:$O$47,$B$7))</f>
        <v>48801.876329893945</v>
      </c>
      <c r="J25" s="81">
        <f t="shared" si="0"/>
        <v>2092841.2596039625</v>
      </c>
      <c r="K25" s="84">
        <f>J25*(1+0.07)^-($B25-'Global Assumptions'!$C$6)</f>
        <v>441478.34104972385</v>
      </c>
      <c r="M25" s="59" t="s">
        <v>116</v>
      </c>
      <c r="N25" s="94">
        <v>0</v>
      </c>
      <c r="O25" s="94">
        <v>0</v>
      </c>
      <c r="P25" s="94">
        <v>1</v>
      </c>
      <c r="Q25" s="94">
        <v>1</v>
      </c>
      <c r="R25" s="94">
        <v>2</v>
      </c>
      <c r="Z25" s="194" t="s">
        <v>185</v>
      </c>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row>
    <row r="26" spans="2:48" x14ac:dyDescent="0.25">
      <c r="B26" s="2">
        <f t="shared" si="1"/>
        <v>2043</v>
      </c>
      <c r="C26" s="117">
        <f>IF($B26&gt;'B_Roadway Improvements_Costs'!$I$11,0,$N$32/20*$N$34/$N$33)</f>
        <v>473880.59701492533</v>
      </c>
      <c r="D26" s="118">
        <f>IF($B26&gt;'B_Roadway Improvements_Costs'!$I$11,0,$N$17*$N$18*$N$19)</f>
        <v>16466.666666666664</v>
      </c>
      <c r="E26" s="118">
        <f>IF($B26&gt;'B_Roadway Improvements_Costs'!$I$11,0,SUMPRODUCT($N$14:$R$14,$N$24:$R$24)*(1-$N$20)+SUMPRODUCT($N$14:$R$14,$N$25:$R$25)*(1-$N$20))/5</f>
        <v>30528</v>
      </c>
      <c r="F26" s="118">
        <f>IF($B26&gt;'B_Roadway Improvements_Costs'!$I$11,0,$N$37*$N$38*$N$39*$N$41*365*$N$42)</f>
        <v>548295.21943573665</v>
      </c>
      <c r="G26" s="118">
        <f>IF($B26&gt;'B_Roadway Improvements_Costs'!$I$11,0,$N$37*$N$38*$N$39*$N$41*365*$N$7)</f>
        <v>422187.31896551722</v>
      </c>
      <c r="H26" s="118">
        <f>IF($B26&gt;'B_Roadway Improvements_Costs'!$I$11,0,$N$37*$N$38*$N$39*$N$40*365*$N$10)</f>
        <v>552681.58119122265</v>
      </c>
      <c r="I26" s="119">
        <f>IF($B26&gt;'B_Roadway Improvements_Costs'!$I$11,0,TREND($N$48:$O$48,$N$47:$O$47,B26)-TREND($N$49:$O$49,$N$47:$O$47,$B$7))</f>
        <v>49770.028940766351</v>
      </c>
      <c r="J26" s="81">
        <f t="shared" si="0"/>
        <v>2093809.4122148349</v>
      </c>
      <c r="K26" s="84">
        <f>J26*(1+0.07)^-($B26-'Global Assumptions'!$C$6)</f>
        <v>412787.44843513076</v>
      </c>
      <c r="M26" s="53"/>
      <c r="O26" s="66"/>
      <c r="Z26" s="196" t="s">
        <v>153</v>
      </c>
      <c r="AA26" s="196" t="s">
        <v>46</v>
      </c>
      <c r="AB26" s="196" t="s">
        <v>154</v>
      </c>
      <c r="AC26" s="196" t="s">
        <v>155</v>
      </c>
      <c r="AD26" s="196" t="s">
        <v>156</v>
      </c>
      <c r="AE26" s="196" t="s">
        <v>157</v>
      </c>
      <c r="AF26" s="196" t="s">
        <v>158</v>
      </c>
      <c r="AG26" s="196" t="s">
        <v>186</v>
      </c>
      <c r="AH26" s="196" t="s">
        <v>160</v>
      </c>
      <c r="AI26" s="196"/>
      <c r="AJ26" s="196" t="s">
        <v>161</v>
      </c>
      <c r="AK26" s="196" t="s">
        <v>162</v>
      </c>
      <c r="AL26" s="196" t="s">
        <v>163</v>
      </c>
      <c r="AM26" s="196" t="s">
        <v>164</v>
      </c>
      <c r="AN26" s="196" t="s">
        <v>165</v>
      </c>
      <c r="AO26" s="196" t="s">
        <v>166</v>
      </c>
      <c r="AP26" s="196" t="s">
        <v>167</v>
      </c>
      <c r="AQ26" s="196" t="s">
        <v>168</v>
      </c>
      <c r="AR26" s="196" t="s">
        <v>169</v>
      </c>
      <c r="AS26" s="196" t="s">
        <v>170</v>
      </c>
      <c r="AT26" s="196" t="s">
        <v>171</v>
      </c>
      <c r="AU26" s="196" t="s">
        <v>172</v>
      </c>
      <c r="AV26" s="196" t="s">
        <v>173</v>
      </c>
    </row>
    <row r="27" spans="2:48" x14ac:dyDescent="0.25">
      <c r="B27" s="2">
        <f t="shared" si="1"/>
        <v>2044</v>
      </c>
      <c r="C27" s="117">
        <f>IF($B27&gt;'B_Roadway Improvements_Costs'!$I$11,0,$N$32/20*$N$34/$N$33)</f>
        <v>0</v>
      </c>
      <c r="D27" s="118">
        <f>IF($B27&gt;'B_Roadway Improvements_Costs'!$I$11,0,$N$17*$N$18*$N$19)</f>
        <v>0</v>
      </c>
      <c r="E27" s="118">
        <f>IF($B27&gt;'B_Roadway Improvements_Costs'!$I$11,0,SUMPRODUCT($N$14:$R$14,$N$24:$R$24)*(1-$N$20)+SUMPRODUCT($N$14:$R$14,$N$25:$R$25)*(1-$N$20))/5</f>
        <v>0</v>
      </c>
      <c r="F27" s="118">
        <f>IF($B27&gt;'B_Roadway Improvements_Costs'!$I$11,0,$N$37*$N$38*$N$39*$N$41*365*$N$42)</f>
        <v>0</v>
      </c>
      <c r="G27" s="118">
        <f>IF($B27&gt;'B_Roadway Improvements_Costs'!$I$11,0,$N$37*$N$38*$N$39*$N$41*365*$N$7)</f>
        <v>0</v>
      </c>
      <c r="H27" s="118">
        <f>IF($B27&gt;'B_Roadway Improvements_Costs'!$I$11,0,$N$37*$N$38*$N$39*$N$40*365*$N$10)</f>
        <v>0</v>
      </c>
      <c r="I27" s="119">
        <f>IF($B27&gt;'B_Roadway Improvements_Costs'!$I$11,0,TREND($N$48:$O$48,$N$47:$O$47,B27)-TREND($N$49:$O$49,$N$47:$O$47,$B$7))</f>
        <v>0</v>
      </c>
      <c r="J27" s="81">
        <f t="shared" ref="J27:J36" si="2">SUM(C27:H27)</f>
        <v>0</v>
      </c>
      <c r="K27" s="84">
        <f>J27*(1+0.07)^-($B27-'Global Assumptions'!$C$6)</f>
        <v>0</v>
      </c>
      <c r="Z27" s="404" t="s">
        <v>174</v>
      </c>
      <c r="AA27" s="158" t="s">
        <v>175</v>
      </c>
      <c r="AB27" s="197">
        <f>SUMPRODUCT($Z$3:$AA$3,AD27:AE27)</f>
        <v>13895.270280729164</v>
      </c>
      <c r="AC27" s="198">
        <f>365*AF27*AG27/(3600)</f>
        <v>463.85416666666669</v>
      </c>
      <c r="AD27" s="198">
        <f>AC27-AE27</f>
        <v>431.57447916666666</v>
      </c>
      <c r="AE27" s="199">
        <f>AC27*AH27/100</f>
        <v>32.279687500000001</v>
      </c>
      <c r="AF27" s="158">
        <f>SUM(AK27:AV27)</f>
        <v>610</v>
      </c>
      <c r="AG27" s="158">
        <v>7.5</v>
      </c>
      <c r="AH27" s="200">
        <f>SUMPRODUCT(AK27:AV27,AK28:AV28)/SUM(AK27:AV27)</f>
        <v>6.9590163934426226</v>
      </c>
      <c r="AI27" s="201"/>
      <c r="AJ27" s="158" t="s">
        <v>176</v>
      </c>
      <c r="AK27" s="150">
        <v>10</v>
      </c>
      <c r="AL27" s="150">
        <v>5</v>
      </c>
      <c r="AM27" s="150">
        <v>235</v>
      </c>
      <c r="AN27" s="150">
        <v>10</v>
      </c>
      <c r="AO27" s="150">
        <v>5</v>
      </c>
      <c r="AP27" s="150">
        <v>5</v>
      </c>
      <c r="AQ27" s="150">
        <v>170</v>
      </c>
      <c r="AR27" s="150">
        <v>100</v>
      </c>
      <c r="AS27" s="150">
        <v>25</v>
      </c>
      <c r="AT27" s="150">
        <v>0</v>
      </c>
      <c r="AU27" s="150">
        <v>40</v>
      </c>
      <c r="AV27" s="150">
        <v>5</v>
      </c>
    </row>
    <row r="28" spans="2:48" ht="17.25" x14ac:dyDescent="0.25">
      <c r="B28" s="2">
        <f t="shared" si="1"/>
        <v>2045</v>
      </c>
      <c r="C28" s="117">
        <f>IF($B28&gt;'B_Roadway Improvements_Costs'!$I$11,0,$N$32/20*$N$34/$N$33)</f>
        <v>0</v>
      </c>
      <c r="D28" s="118">
        <f>IF($B28&gt;'B_Roadway Improvements_Costs'!$I$11,0,$N$17*$N$18*$N$19)</f>
        <v>0</v>
      </c>
      <c r="E28" s="118">
        <f>IF($B28&gt;'B_Roadway Improvements_Costs'!$I$11,0,SUMPRODUCT($N$14:$R$14,$N$24:$R$24)*(1-$N$20)+SUMPRODUCT($N$14:$R$14,$N$25:$R$25)*(1-$N$20))/5</f>
        <v>0</v>
      </c>
      <c r="F28" s="118">
        <f>IF($B28&gt;'B_Roadway Improvements_Costs'!$I$11,0,$N$37*$N$38*$N$39*$N$41*365*$N$42)</f>
        <v>0</v>
      </c>
      <c r="G28" s="118">
        <f>IF($B28&gt;'B_Roadway Improvements_Costs'!$I$11,0,$N$37*$N$38*$N$39*$N$41*365*$N$7)</f>
        <v>0</v>
      </c>
      <c r="H28" s="118">
        <f>IF($B28&gt;'B_Roadway Improvements_Costs'!$I$11,0,$N$37*$N$38*$N$39*$N$40*365*$N$10)</f>
        <v>0</v>
      </c>
      <c r="I28" s="119">
        <f>IF($B28&gt;'B_Roadway Improvements_Costs'!$I$11,0,TREND($N$48:$O$48,$N$47:$O$47,B28)-TREND($N$49:$O$49,$N$47:$O$47,$B$7))</f>
        <v>0</v>
      </c>
      <c r="J28" s="81">
        <f t="shared" si="2"/>
        <v>0</v>
      </c>
      <c r="K28" s="84">
        <f>J28*(1+0.07)^-($B28-'Global Assumptions'!$C$6)</f>
        <v>0</v>
      </c>
      <c r="M28" s="138" t="s">
        <v>142</v>
      </c>
      <c r="P28" s="151" t="s">
        <v>132</v>
      </c>
      <c r="Z28" s="404"/>
      <c r="AA28" s="158" t="s">
        <v>177</v>
      </c>
      <c r="AB28" s="197">
        <f>SUMPRODUCT($Z$3:$AA$3,AD28:AE28)</f>
        <v>10375.135142944444</v>
      </c>
      <c r="AC28" s="198">
        <f>365*AF28*AG28/(3600)</f>
        <v>346.34444444444443</v>
      </c>
      <c r="AD28" s="198">
        <f>AC28-AE28</f>
        <v>322.24227777777776</v>
      </c>
      <c r="AE28" s="199">
        <f>AC28*AH28/100</f>
        <v>24.102166666666662</v>
      </c>
      <c r="AF28" s="158">
        <f>AF27</f>
        <v>610</v>
      </c>
      <c r="AG28" s="158">
        <v>5.6</v>
      </c>
      <c r="AH28" s="200">
        <f>AH27</f>
        <v>6.9590163934426226</v>
      </c>
      <c r="AI28" s="201"/>
      <c r="AJ28" s="158" t="s">
        <v>178</v>
      </c>
      <c r="AK28" s="150">
        <v>4</v>
      </c>
      <c r="AL28" s="150">
        <v>4</v>
      </c>
      <c r="AM28" s="150">
        <v>4</v>
      </c>
      <c r="AN28" s="150">
        <v>58</v>
      </c>
      <c r="AO28" s="150">
        <v>58</v>
      </c>
      <c r="AP28" s="150">
        <v>58</v>
      </c>
      <c r="AQ28" s="150">
        <v>6</v>
      </c>
      <c r="AR28" s="150">
        <v>6</v>
      </c>
      <c r="AS28" s="150">
        <v>6</v>
      </c>
      <c r="AT28" s="150">
        <v>7</v>
      </c>
      <c r="AU28" s="150">
        <v>7</v>
      </c>
      <c r="AV28" s="150">
        <v>7</v>
      </c>
    </row>
    <row r="29" spans="2:48" x14ac:dyDescent="0.25">
      <c r="B29" s="2">
        <f t="shared" si="1"/>
        <v>2046</v>
      </c>
      <c r="C29" s="117">
        <f>IF($B29&gt;'B_Roadway Improvements_Costs'!$I$11,0,$N$32/20*$N$34/$N$33)</f>
        <v>0</v>
      </c>
      <c r="D29" s="118">
        <f>IF($B29&gt;'B_Roadway Improvements_Costs'!$I$11,0,$N$17*$N$18*$N$19)</f>
        <v>0</v>
      </c>
      <c r="E29" s="118">
        <f>IF($B29&gt;'B_Roadway Improvements_Costs'!$I$11,0,SUMPRODUCT($N$14:$R$14,$N$24:$R$24)*(1-$N$20)+SUMPRODUCT($N$14:$R$14,$N$25:$R$25)*(1-$N$20))/5</f>
        <v>0</v>
      </c>
      <c r="F29" s="118">
        <f>IF($B29&gt;'B_Roadway Improvements_Costs'!$I$11,0,$N$37*$N$38*$N$39*$N$41*365*$N$42)</f>
        <v>0</v>
      </c>
      <c r="G29" s="118">
        <f>IF($B29&gt;'B_Roadway Improvements_Costs'!$I$11,0,$N$37*$N$38*$N$39*$N$41*365*$N$7)</f>
        <v>0</v>
      </c>
      <c r="H29" s="118">
        <f>IF($B29&gt;'B_Roadway Improvements_Costs'!$I$11,0,$N$37*$N$38*$N$39*$N$40*365*$N$10)</f>
        <v>0</v>
      </c>
      <c r="I29" s="119">
        <f>IF($B29&gt;'B_Roadway Improvements_Costs'!$I$11,0,TREND($N$48:$O$48,$N$47:$O$47,B29)-TREND($N$49:$O$49,$N$47:$O$47,$B$7))</f>
        <v>0</v>
      </c>
      <c r="J29" s="81">
        <f t="shared" si="2"/>
        <v>0</v>
      </c>
      <c r="K29" s="84">
        <f>J29*(1+0.07)^-($B29-'Global Assumptions'!$C$6)</f>
        <v>0</v>
      </c>
      <c r="M29" s="59" t="s">
        <v>137</v>
      </c>
      <c r="N29" s="160"/>
      <c r="P29" s="66" t="s">
        <v>92</v>
      </c>
      <c r="Z29" s="404" t="s">
        <v>179</v>
      </c>
      <c r="AA29" s="158" t="s">
        <v>175</v>
      </c>
      <c r="AB29" s="197">
        <f>SUMPRODUCT($Z$3:$AA$3,AD29:AE29)</f>
        <v>18088.036573930553</v>
      </c>
      <c r="AC29" s="198">
        <f>365*AF29*AG29/(3600)</f>
        <v>604.32847222222222</v>
      </c>
      <c r="AD29" s="198">
        <f>AC29-AE29</f>
        <v>579.14043055555555</v>
      </c>
      <c r="AE29" s="199">
        <f>AC29*AH29/100</f>
        <v>25.188041666666663</v>
      </c>
      <c r="AF29" s="158">
        <f>SUM(AK29:AV29)</f>
        <v>655</v>
      </c>
      <c r="AG29" s="158">
        <v>9.1</v>
      </c>
      <c r="AH29" s="200">
        <f>SUMPRODUCT(AK29:AV29,AK30:AV30)/SUM(AK29:AV29)</f>
        <v>4.1679389312977095</v>
      </c>
      <c r="AI29" s="201"/>
      <c r="AJ29" s="158" t="s">
        <v>176</v>
      </c>
      <c r="AK29" s="150">
        <v>5</v>
      </c>
      <c r="AL29" s="150">
        <v>5</v>
      </c>
      <c r="AM29" s="150">
        <v>240</v>
      </c>
      <c r="AN29" s="150">
        <v>40</v>
      </c>
      <c r="AO29" s="150">
        <v>5</v>
      </c>
      <c r="AP29" s="150">
        <v>0</v>
      </c>
      <c r="AQ29" s="150">
        <v>225</v>
      </c>
      <c r="AR29" s="150">
        <v>35</v>
      </c>
      <c r="AS29" s="150">
        <v>10</v>
      </c>
      <c r="AT29" s="150">
        <v>0</v>
      </c>
      <c r="AU29" s="150">
        <v>80</v>
      </c>
      <c r="AV29" s="150">
        <v>10</v>
      </c>
    </row>
    <row r="30" spans="2:48" x14ac:dyDescent="0.25">
      <c r="B30" s="2">
        <f t="shared" si="1"/>
        <v>2047</v>
      </c>
      <c r="C30" s="117">
        <f>IF($B30&gt;'B_Roadway Improvements_Costs'!$I$11,0,$N$32/20*$N$34/$N$33)</f>
        <v>0</v>
      </c>
      <c r="D30" s="118">
        <f>IF($B30&gt;'B_Roadway Improvements_Costs'!$I$11,0,$N$17*$N$18*$N$19)</f>
        <v>0</v>
      </c>
      <c r="E30" s="118">
        <f>IF($B30&gt;'B_Roadway Improvements_Costs'!$I$11,0,SUMPRODUCT($N$14:$R$14,$N$24:$R$24)*(1-$N$20)+SUMPRODUCT($N$14:$R$14,$N$25:$R$25)*(1-$N$20))/5</f>
        <v>0</v>
      </c>
      <c r="F30" s="118">
        <f>IF($B30&gt;'B_Roadway Improvements_Costs'!$I$11,0,$N$37*$N$38*$N$39*$N$41*365*$N$42)</f>
        <v>0</v>
      </c>
      <c r="G30" s="118">
        <f>IF($B30&gt;'B_Roadway Improvements_Costs'!$I$11,0,$N$37*$N$38*$N$39*$N$41*365*$N$7)</f>
        <v>0</v>
      </c>
      <c r="H30" s="118">
        <f>IF($B30&gt;'B_Roadway Improvements_Costs'!$I$11,0,$N$37*$N$38*$N$39*$N$40*365*$N$10)</f>
        <v>0</v>
      </c>
      <c r="I30" s="119">
        <f>IF($B30&gt;'B_Roadway Improvements_Costs'!$I$11,0,TREND($N$48:$O$48,$N$47:$O$47,B30)-TREND($N$49:$O$49,$N$47:$O$47,$B$7))</f>
        <v>0</v>
      </c>
      <c r="J30" s="81">
        <f t="shared" si="2"/>
        <v>0</v>
      </c>
      <c r="K30" s="84">
        <f>J30*(1+0.07)^-($B30-'Global Assumptions'!$C$6)</f>
        <v>0</v>
      </c>
      <c r="M30" s="59" t="s">
        <v>96</v>
      </c>
      <c r="N30" s="160"/>
      <c r="Z30" s="404"/>
      <c r="AA30" s="158" t="s">
        <v>177</v>
      </c>
      <c r="AB30" s="197">
        <f>SUMPRODUCT($Z$3:$AA$3,AD30:AE30)</f>
        <v>10534.790532069443</v>
      </c>
      <c r="AC30" s="198">
        <f>365*AF30*AG30/(3600)</f>
        <v>351.97152777777779</v>
      </c>
      <c r="AD30" s="198">
        <f>AC30-AE30</f>
        <v>337.30156944444445</v>
      </c>
      <c r="AE30" s="199">
        <f>AC30*AH30/100</f>
        <v>14.669958333333332</v>
      </c>
      <c r="AF30" s="158">
        <f>AF29</f>
        <v>655</v>
      </c>
      <c r="AG30" s="158">
        <v>5.3</v>
      </c>
      <c r="AH30" s="200">
        <f>AH29</f>
        <v>4.1679389312977095</v>
      </c>
      <c r="AI30" s="201"/>
      <c r="AJ30" s="158" t="s">
        <v>178</v>
      </c>
      <c r="AK30" s="150">
        <v>3</v>
      </c>
      <c r="AL30" s="150">
        <v>3</v>
      </c>
      <c r="AM30" s="150">
        <v>3</v>
      </c>
      <c r="AN30" s="150">
        <v>12</v>
      </c>
      <c r="AO30" s="150">
        <v>12</v>
      </c>
      <c r="AP30" s="150">
        <v>12</v>
      </c>
      <c r="AQ30" s="150">
        <v>5</v>
      </c>
      <c r="AR30" s="150">
        <v>5</v>
      </c>
      <c r="AS30" s="150">
        <v>5</v>
      </c>
      <c r="AT30" s="150">
        <v>1</v>
      </c>
      <c r="AU30" s="150">
        <v>1</v>
      </c>
      <c r="AV30" s="150">
        <v>1</v>
      </c>
    </row>
    <row r="31" spans="2:48" ht="14.25" customHeight="1" x14ac:dyDescent="0.25">
      <c r="B31" s="2">
        <f t="shared" si="1"/>
        <v>2048</v>
      </c>
      <c r="C31" s="117">
        <f>IF($B31&gt;'B_Roadway Improvements_Costs'!$I$11,0,$N$32/20*$N$34/$N$33)</f>
        <v>0</v>
      </c>
      <c r="D31" s="118">
        <f>IF($B31&gt;'B_Roadway Improvements_Costs'!$I$11,0,$N$17*$N$18*$N$19)</f>
        <v>0</v>
      </c>
      <c r="E31" s="118">
        <f>IF($B31&gt;'B_Roadway Improvements_Costs'!$I$11,0,SUMPRODUCT($N$14:$R$14,$N$24:$R$24)*(1-$N$20)+SUMPRODUCT($N$14:$R$14,$N$25:$R$25)*(1-$N$20))/5</f>
        <v>0</v>
      </c>
      <c r="F31" s="118">
        <f>IF($B31&gt;'B_Roadway Improvements_Costs'!$I$11,0,$N$37*$N$38*$N$39*$N$41*365*$N$42)</f>
        <v>0</v>
      </c>
      <c r="G31" s="118">
        <f>IF($B31&gt;'B_Roadway Improvements_Costs'!$I$11,0,$N$37*$N$38*$N$39*$N$41*365*$N$7)</f>
        <v>0</v>
      </c>
      <c r="H31" s="118">
        <f>IF($B31&gt;'B_Roadway Improvements_Costs'!$I$11,0,$N$37*$N$38*$N$39*$N$40*365*$N$10)</f>
        <v>0</v>
      </c>
      <c r="I31" s="119">
        <f>IF($B31&gt;'B_Roadway Improvements_Costs'!$I$11,0,TREND($N$48:$O$48,$N$47:$O$47,B31)-TREND($N$49:$O$49,$N$47:$O$47,$B$7))</f>
        <v>0</v>
      </c>
      <c r="J31" s="81">
        <f t="shared" si="2"/>
        <v>0</v>
      </c>
      <c r="K31" s="84">
        <f>J31*(1+0.07)^-($B31-'Global Assumptions'!$C$6)</f>
        <v>0</v>
      </c>
      <c r="M31" s="59" t="s">
        <v>97</v>
      </c>
      <c r="N31" s="160"/>
      <c r="Q31" s="150"/>
      <c r="Z31" s="158"/>
      <c r="AA31" s="158"/>
      <c r="AB31" s="158"/>
      <c r="AC31" s="158"/>
      <c r="AD31" s="158"/>
      <c r="AE31" s="158"/>
      <c r="AF31" s="158"/>
      <c r="AG31" s="158"/>
      <c r="AH31" s="158"/>
      <c r="AI31" s="150"/>
      <c r="AJ31" s="158"/>
      <c r="AK31" s="150"/>
      <c r="AL31" s="150"/>
      <c r="AM31" s="150"/>
      <c r="AN31" s="150"/>
      <c r="AO31" s="150"/>
      <c r="AP31" s="150"/>
      <c r="AQ31" s="150"/>
      <c r="AR31" s="150"/>
      <c r="AS31" s="150"/>
      <c r="AT31" s="150"/>
      <c r="AU31" s="150"/>
      <c r="AV31" s="150"/>
    </row>
    <row r="32" spans="2:48" x14ac:dyDescent="0.25">
      <c r="B32" s="2">
        <f t="shared" si="1"/>
        <v>2049</v>
      </c>
      <c r="C32" s="117">
        <f>IF($B32&gt;'B_Roadway Improvements_Costs'!$I$11,0,$N$32/20*$N$34/$N$33)</f>
        <v>0</v>
      </c>
      <c r="D32" s="118">
        <f>IF($B32&gt;'B_Roadway Improvements_Costs'!$I$11,0,$N$17*$N$18*$N$19)</f>
        <v>0</v>
      </c>
      <c r="E32" s="118">
        <f>IF($B32&gt;'B_Roadway Improvements_Costs'!$I$11,0,SUMPRODUCT($N$14:$R$14,$N$24:$R$24)*(1-$N$20)+SUMPRODUCT($N$14:$R$14,$N$25:$R$25)*(1-$N$20))/5</f>
        <v>0</v>
      </c>
      <c r="F32" s="118">
        <f>IF($B32&gt;'B_Roadway Improvements_Costs'!$I$11,0,$N$37*$N$38*$N$39*$N$41*365*$N$42)</f>
        <v>0</v>
      </c>
      <c r="G32" s="118">
        <f>IF($B32&gt;'B_Roadway Improvements_Costs'!$I$11,0,$N$37*$N$38*$N$39*$N$41*365*$N$7)</f>
        <v>0</v>
      </c>
      <c r="H32" s="118">
        <f>IF($B32&gt;'B_Roadway Improvements_Costs'!$I$11,0,$N$37*$N$38*$N$39*$N$40*365*$N$10)</f>
        <v>0</v>
      </c>
      <c r="I32" s="119">
        <f>IF($B32&gt;'B_Roadway Improvements_Costs'!$I$11,0,TREND($N$48:$O$48,$N$47:$O$47,B32)-TREND($N$49:$O$49,$N$47:$O$47,$B$7))</f>
        <v>0</v>
      </c>
      <c r="J32" s="81">
        <f t="shared" si="2"/>
        <v>0</v>
      </c>
      <c r="K32" s="84">
        <f>J32*(1+0.07)^-($B32-'Global Assumptions'!$C$6)</f>
        <v>0</v>
      </c>
      <c r="M32" s="59" t="s">
        <v>98</v>
      </c>
      <c r="N32" s="82">
        <f>(194+60)*10^6</f>
        <v>254000000</v>
      </c>
      <c r="Z32" s="196" t="s">
        <v>153</v>
      </c>
      <c r="AA32" s="196" t="s">
        <v>46</v>
      </c>
      <c r="AB32" s="196" t="s">
        <v>154</v>
      </c>
      <c r="AC32" s="196" t="s">
        <v>180</v>
      </c>
      <c r="AD32" s="196" t="s">
        <v>181</v>
      </c>
      <c r="AE32" s="196" t="s">
        <v>182</v>
      </c>
      <c r="AF32" s="196" t="s">
        <v>158</v>
      </c>
      <c r="AG32" s="196" t="s">
        <v>186</v>
      </c>
      <c r="AH32" s="196"/>
      <c r="AI32" s="196"/>
      <c r="AJ32" s="196" t="s">
        <v>161</v>
      </c>
      <c r="AK32" s="196" t="s">
        <v>162</v>
      </c>
      <c r="AL32" s="196" t="s">
        <v>163</v>
      </c>
      <c r="AM32" s="196" t="s">
        <v>164</v>
      </c>
      <c r="AN32" s="196" t="s">
        <v>165</v>
      </c>
      <c r="AO32" s="196" t="s">
        <v>166</v>
      </c>
      <c r="AP32" s="196" t="s">
        <v>167</v>
      </c>
      <c r="AQ32" s="196" t="s">
        <v>168</v>
      </c>
      <c r="AR32" s="196" t="s">
        <v>169</v>
      </c>
      <c r="AS32" s="196" t="s">
        <v>170</v>
      </c>
      <c r="AT32" s="196" t="s">
        <v>171</v>
      </c>
      <c r="AU32" s="196" t="s">
        <v>172</v>
      </c>
      <c r="AV32" s="196" t="s">
        <v>173</v>
      </c>
    </row>
    <row r="33" spans="1:48" x14ac:dyDescent="0.25">
      <c r="B33" s="2">
        <f t="shared" si="1"/>
        <v>2050</v>
      </c>
      <c r="C33" s="117">
        <f>IF($B33&gt;'B_Roadway Improvements_Costs'!$I$11,0,$N$32/20*$N$34/$N$33)</f>
        <v>0</v>
      </c>
      <c r="D33" s="118">
        <f>IF($B33&gt;'B_Roadway Improvements_Costs'!$I$11,0,$N$17*$N$18*$N$19)</f>
        <v>0</v>
      </c>
      <c r="E33" s="118">
        <f>IF($B33&gt;'B_Roadway Improvements_Costs'!$I$11,0,SUMPRODUCT($N$14:$R$14,$N$24:$R$24)*(1-$N$20)+SUMPRODUCT($N$14:$R$14,$N$25:$R$25)*(1-$N$20))/5</f>
        <v>0</v>
      </c>
      <c r="F33" s="118">
        <f>IF($B33&gt;'B_Roadway Improvements_Costs'!$I$11,0,$N$37*$N$38*$N$39*$N$41*365*$N$42)</f>
        <v>0</v>
      </c>
      <c r="G33" s="118">
        <f>IF($B33&gt;'B_Roadway Improvements_Costs'!$I$11,0,$N$37*$N$38*$N$39*$N$41*365*$N$7)</f>
        <v>0</v>
      </c>
      <c r="H33" s="118">
        <f>IF($B33&gt;'B_Roadway Improvements_Costs'!$I$11,0,$N$37*$N$38*$N$39*$N$40*365*$N$10)</f>
        <v>0</v>
      </c>
      <c r="I33" s="119">
        <f>IF($B33&gt;'B_Roadway Improvements_Costs'!$I$11,0,TREND($N$48:$O$48,$N$47:$O$47,B33)-TREND($N$49:$O$49,$N$47:$O$47,$B$7))</f>
        <v>0</v>
      </c>
      <c r="J33" s="81">
        <f t="shared" si="2"/>
        <v>0</v>
      </c>
      <c r="K33" s="84">
        <f>J33*(1+0.07)^-($B33-'Global Assumptions'!$C$6)</f>
        <v>0</v>
      </c>
      <c r="M33" s="59" t="s">
        <v>94</v>
      </c>
      <c r="N33" s="160">
        <v>40.200000000000003</v>
      </c>
      <c r="Z33" s="404" t="s">
        <v>174</v>
      </c>
      <c r="AA33" s="158" t="s">
        <v>183</v>
      </c>
      <c r="AB33" s="197">
        <f>SUMPRODUCT($Z$3:$AA$3,AD33:AE33)</f>
        <v>16463.705384749999</v>
      </c>
      <c r="AC33" s="198">
        <f>365*AF33*AG33/(3600)</f>
        <v>549.62916666666672</v>
      </c>
      <c r="AD33" s="198">
        <f>AC33-AE33</f>
        <v>512.53908333333334</v>
      </c>
      <c r="AE33" s="199">
        <f>AC33*AH33/100</f>
        <v>37.09008333333334</v>
      </c>
      <c r="AF33" s="158">
        <f>SUM(AK33:AV33)</f>
        <v>695</v>
      </c>
      <c r="AG33" s="158">
        <v>7.8</v>
      </c>
      <c r="AH33" s="200">
        <f>SUMPRODUCT(AK33:AV33,AK34:AV34)/SUM(AK33:AV33)</f>
        <v>6.7482014388489207</v>
      </c>
      <c r="AI33" s="201"/>
      <c r="AJ33" s="158" t="s">
        <v>176</v>
      </c>
      <c r="AK33" s="150">
        <v>10</v>
      </c>
      <c r="AL33" s="150">
        <v>5</v>
      </c>
      <c r="AM33" s="150">
        <v>270</v>
      </c>
      <c r="AN33" s="150">
        <v>10</v>
      </c>
      <c r="AO33" s="150">
        <v>5</v>
      </c>
      <c r="AP33" s="150">
        <v>5</v>
      </c>
      <c r="AQ33" s="150">
        <v>195</v>
      </c>
      <c r="AR33" s="150">
        <v>115</v>
      </c>
      <c r="AS33" s="150">
        <v>30</v>
      </c>
      <c r="AT33" s="150">
        <v>0</v>
      </c>
      <c r="AU33" s="150">
        <v>45</v>
      </c>
      <c r="AV33" s="150">
        <v>5</v>
      </c>
    </row>
    <row r="34" spans="1:48" x14ac:dyDescent="0.25">
      <c r="B34" s="2">
        <f t="shared" si="1"/>
        <v>2051</v>
      </c>
      <c r="C34" s="117">
        <f>IF($B34&gt;'B_Roadway Improvements_Costs'!$I$11,0,$N$32/20*$N$34/$N$33)</f>
        <v>0</v>
      </c>
      <c r="D34" s="118">
        <f>IF($B34&gt;'B_Roadway Improvements_Costs'!$I$11,0,$N$17*$N$18*$N$19)</f>
        <v>0</v>
      </c>
      <c r="E34" s="118">
        <f>IF($B34&gt;'B_Roadway Improvements_Costs'!$I$11,0,SUMPRODUCT($N$14:$R$14,$N$24:$R$24)*(1-$N$20)+SUMPRODUCT($N$14:$R$14,$N$25:$R$25)*(1-$N$20))/5</f>
        <v>0</v>
      </c>
      <c r="F34" s="118">
        <f>IF($B34&gt;'B_Roadway Improvements_Costs'!$I$11,0,$N$37*$N$38*$N$39*$N$41*365*$N$42)</f>
        <v>0</v>
      </c>
      <c r="G34" s="118">
        <f>IF($B34&gt;'B_Roadway Improvements_Costs'!$I$11,0,$N$37*$N$38*$N$39*$N$41*365*$N$7)</f>
        <v>0</v>
      </c>
      <c r="H34" s="118">
        <f>IF($B34&gt;'B_Roadway Improvements_Costs'!$I$11,0,$N$37*$N$38*$N$39*$N$40*365*$N$10)</f>
        <v>0</v>
      </c>
      <c r="I34" s="119">
        <f>IF($B34&gt;'B_Roadway Improvements_Costs'!$I$11,0,TREND($N$48:$O$48,$N$47:$O$47,B34)-TREND($N$49:$O$49,$N$47:$O$47,$B$7))</f>
        <v>0</v>
      </c>
      <c r="J34" s="81">
        <f t="shared" si="2"/>
        <v>0</v>
      </c>
      <c r="K34" s="84">
        <f>J34*(1+0.07)^-($B34-'Global Assumptions'!$C$6)</f>
        <v>0</v>
      </c>
      <c r="M34" s="59" t="s">
        <v>93</v>
      </c>
      <c r="N34" s="172">
        <v>1.5</v>
      </c>
      <c r="Z34" s="404"/>
      <c r="AA34" s="158" t="s">
        <v>184</v>
      </c>
      <c r="AB34" s="197">
        <f>SUMPRODUCT($Z$3:$AA$3,AD34:AE34)</f>
        <v>12875.461903458332</v>
      </c>
      <c r="AC34" s="198">
        <f>365*AF34*AG34/(3600)</f>
        <v>429.83819444444447</v>
      </c>
      <c r="AD34" s="198">
        <f>AC34-AE34</f>
        <v>400.83184722222222</v>
      </c>
      <c r="AE34" s="199">
        <f>AC34*AH34/100</f>
        <v>29.006347222222221</v>
      </c>
      <c r="AF34" s="158">
        <f>AF33</f>
        <v>695</v>
      </c>
      <c r="AG34" s="158">
        <v>6.1</v>
      </c>
      <c r="AH34" s="200">
        <f>AH33</f>
        <v>6.7482014388489207</v>
      </c>
      <c r="AI34" s="201"/>
      <c r="AJ34" s="158" t="s">
        <v>178</v>
      </c>
      <c r="AK34" s="150">
        <v>4</v>
      </c>
      <c r="AL34" s="150">
        <v>4</v>
      </c>
      <c r="AM34" s="150">
        <v>4</v>
      </c>
      <c r="AN34" s="150">
        <v>58</v>
      </c>
      <c r="AO34" s="150">
        <v>58</v>
      </c>
      <c r="AP34" s="150">
        <v>58</v>
      </c>
      <c r="AQ34" s="150">
        <v>6</v>
      </c>
      <c r="AR34" s="150">
        <v>6</v>
      </c>
      <c r="AS34" s="150">
        <v>6</v>
      </c>
      <c r="AT34" s="150">
        <v>7</v>
      </c>
      <c r="AU34" s="150">
        <v>7</v>
      </c>
      <c r="AV34" s="150">
        <v>7</v>
      </c>
    </row>
    <row r="35" spans="1:48" x14ac:dyDescent="0.25">
      <c r="B35" s="2">
        <f t="shared" si="1"/>
        <v>2052</v>
      </c>
      <c r="C35" s="117">
        <f>IF($B35&gt;'B_Roadway Improvements_Costs'!$I$11,0,$N$32/20*$N$34/$N$33)</f>
        <v>0</v>
      </c>
      <c r="D35" s="118">
        <f>IF($B35&gt;'B_Roadway Improvements_Costs'!$I$11,0,$N$17*$N$18*$N$19)</f>
        <v>0</v>
      </c>
      <c r="E35" s="118">
        <f>IF($B35&gt;'B_Roadway Improvements_Costs'!$I$11,0,SUMPRODUCT($N$14:$R$14,$N$24:$R$24)*(1-$N$20)+SUMPRODUCT($N$14:$R$14,$N$25:$R$25)*(1-$N$20))/5</f>
        <v>0</v>
      </c>
      <c r="F35" s="118">
        <f>IF($B35&gt;'B_Roadway Improvements_Costs'!$I$11,0,$N$37*$N$38*$N$39*$N$41*365*$N$42)</f>
        <v>0</v>
      </c>
      <c r="G35" s="118">
        <f>IF($B35&gt;'B_Roadway Improvements_Costs'!$I$11,0,$N$37*$N$38*$N$39*$N$41*365*$N$7)</f>
        <v>0</v>
      </c>
      <c r="H35" s="118">
        <f>IF($B35&gt;'B_Roadway Improvements_Costs'!$I$11,0,$N$37*$N$38*$N$39*$N$40*365*$N$10)</f>
        <v>0</v>
      </c>
      <c r="I35" s="119">
        <f>IF($B35&gt;'B_Roadway Improvements_Costs'!$I$11,0,TREND($N$48:$O$48,$N$47:$O$47,B35)-TREND($N$49:$O$49,$N$47:$O$47,$B$7))</f>
        <v>0</v>
      </c>
      <c r="J35" s="81">
        <f t="shared" si="2"/>
        <v>0</v>
      </c>
      <c r="K35" s="84">
        <f>J35*(1+0.07)^-($B35-'Global Assumptions'!$C$6)</f>
        <v>0</v>
      </c>
      <c r="O35" s="47"/>
      <c r="Z35" s="404" t="s">
        <v>179</v>
      </c>
      <c r="AA35" s="158" t="s">
        <v>183</v>
      </c>
      <c r="AB35" s="197">
        <f>SUMPRODUCT($Z$3:$AA$3,AD35:AE35)</f>
        <v>23738.555408020831</v>
      </c>
      <c r="AC35" s="198">
        <f>365*AF35*AG35/(3600)</f>
        <v>793.11458333333337</v>
      </c>
      <c r="AD35" s="198">
        <f>AC35-AE35</f>
        <v>760.05927083333336</v>
      </c>
      <c r="AE35" s="199">
        <f>AC35*AH35/100</f>
        <v>33.055312499999999</v>
      </c>
      <c r="AF35" s="158">
        <f>SUM(AK35:AV35)</f>
        <v>745</v>
      </c>
      <c r="AG35" s="158">
        <v>10.5</v>
      </c>
      <c r="AH35" s="200">
        <f>SUMPRODUCT(AK35:AV35,AK36:AV36)/SUM(AK35:AV35)</f>
        <v>4.1677852348993287</v>
      </c>
      <c r="AI35" s="201"/>
      <c r="AJ35" s="158" t="s">
        <v>176</v>
      </c>
      <c r="AK35" s="150">
        <v>5</v>
      </c>
      <c r="AL35" s="150">
        <v>5</v>
      </c>
      <c r="AM35" s="150">
        <v>275</v>
      </c>
      <c r="AN35" s="150">
        <v>45</v>
      </c>
      <c r="AO35" s="150">
        <v>5</v>
      </c>
      <c r="AP35" s="150">
        <v>0</v>
      </c>
      <c r="AQ35" s="150">
        <v>260</v>
      </c>
      <c r="AR35" s="150">
        <v>40</v>
      </c>
      <c r="AS35" s="150">
        <v>10</v>
      </c>
      <c r="AT35" s="150">
        <v>0</v>
      </c>
      <c r="AU35" s="150">
        <v>90</v>
      </c>
      <c r="AV35" s="150">
        <v>10</v>
      </c>
    </row>
    <row r="36" spans="1:48" ht="15" customHeight="1" thickBot="1" x14ac:dyDescent="0.3">
      <c r="B36" s="3">
        <f t="shared" si="1"/>
        <v>2053</v>
      </c>
      <c r="C36" s="120">
        <f>IF($B36&gt;'B_Roadway Improvements_Costs'!$I$11,0,$N$32/20*$N$34/$N$33)</f>
        <v>0</v>
      </c>
      <c r="D36" s="121">
        <f>IF($B36&gt;'B_Roadway Improvements_Costs'!$I$11,0,$N$17*$N$18*$N$19)</f>
        <v>0</v>
      </c>
      <c r="E36" s="121">
        <f>IF($B36&gt;'B_Roadway Improvements_Costs'!$I$11,0,SUMPRODUCT($N$14:$R$14,$N$24:$R$24)*(1-$N$20)+SUMPRODUCT($N$14:$R$14,$N$25:$R$25)*(1-$N$20))/5</f>
        <v>0</v>
      </c>
      <c r="F36" s="121">
        <f>IF($B36&gt;'B_Roadway Improvements_Costs'!$I$11,0,$N$37*$N$38*$N$39*$N$41*365*$N$42)</f>
        <v>0</v>
      </c>
      <c r="G36" s="121">
        <f>IF($B36&gt;'B_Roadway Improvements_Costs'!$I$11,0,$N$37*$N$38*$N$39*$N$41*365*$N$7)</f>
        <v>0</v>
      </c>
      <c r="H36" s="121">
        <f>IF($B36&gt;'B_Roadway Improvements_Costs'!$I$11,0,$N$37*$N$38*$N$39*$N$40*365*$N$10)</f>
        <v>0</v>
      </c>
      <c r="I36" s="122">
        <f>IF($B36&gt;'B_Roadway Improvements_Costs'!$I$11,0,TREND($N$48:$O$48,$N$47:$O$47,B36)-TREND($N$49:$O$49,$N$47:$O$47,$B$7))</f>
        <v>0</v>
      </c>
      <c r="J36" s="91">
        <f t="shared" si="2"/>
        <v>0</v>
      </c>
      <c r="K36" s="85">
        <f>J36*(1+0.07)^-($B36-'Global Assumptions'!$C$6)</f>
        <v>0</v>
      </c>
      <c r="M36" s="138" t="s">
        <v>148</v>
      </c>
      <c r="O36" s="47"/>
      <c r="P36" s="151" t="s">
        <v>132</v>
      </c>
      <c r="Z36" s="404"/>
      <c r="AA36" s="158" t="s">
        <v>184</v>
      </c>
      <c r="AB36" s="197">
        <f>SUMPRODUCT($Z$3:$AA$3,AD36:AE36)</f>
        <v>12886.644364354164</v>
      </c>
      <c r="AC36" s="198">
        <f>365*AF36*AG36/(3600)</f>
        <v>430.54791666666665</v>
      </c>
      <c r="AD36" s="198">
        <f>AC36-AE36</f>
        <v>412.60360416666663</v>
      </c>
      <c r="AE36" s="199">
        <f>AC36*AH36/100</f>
        <v>17.944312499999999</v>
      </c>
      <c r="AF36" s="158">
        <f>AF35</f>
        <v>745</v>
      </c>
      <c r="AG36" s="158">
        <v>5.7</v>
      </c>
      <c r="AH36" s="200">
        <f>AH35</f>
        <v>4.1677852348993287</v>
      </c>
      <c r="AI36" s="201"/>
      <c r="AJ36" s="158" t="s">
        <v>178</v>
      </c>
      <c r="AK36" s="150">
        <v>3</v>
      </c>
      <c r="AL36" s="150">
        <v>3</v>
      </c>
      <c r="AM36" s="150">
        <v>3</v>
      </c>
      <c r="AN36" s="150">
        <v>12</v>
      </c>
      <c r="AO36" s="150">
        <v>12</v>
      </c>
      <c r="AP36" s="150">
        <v>12</v>
      </c>
      <c r="AQ36" s="150">
        <v>5</v>
      </c>
      <c r="AR36" s="150">
        <v>5</v>
      </c>
      <c r="AS36" s="150">
        <v>5</v>
      </c>
      <c r="AT36" s="150">
        <v>1</v>
      </c>
      <c r="AU36" s="150">
        <v>1</v>
      </c>
      <c r="AV36" s="150">
        <v>1</v>
      </c>
    </row>
    <row r="37" spans="1:48" ht="15" customHeight="1" thickBot="1" x14ac:dyDescent="0.3">
      <c r="B37" s="4"/>
      <c r="C37" s="51"/>
      <c r="D37" s="51"/>
      <c r="E37" s="51"/>
      <c r="F37" s="51"/>
      <c r="G37" s="51"/>
      <c r="H37" s="51"/>
      <c r="I37" s="51"/>
      <c r="J37" s="125" t="s">
        <v>2</v>
      </c>
      <c r="K37" s="86">
        <f>SUM(K7:K36)</f>
        <v>16977402.662265763</v>
      </c>
      <c r="M37" s="59" t="s">
        <v>105</v>
      </c>
      <c r="N37" s="160">
        <v>13500</v>
      </c>
      <c r="O37" s="47" t="s">
        <v>107</v>
      </c>
      <c r="W37" s="151" t="s">
        <v>144</v>
      </c>
    </row>
    <row r="38" spans="1:48" ht="15" customHeight="1" x14ac:dyDescent="0.25">
      <c r="M38" s="59" t="s">
        <v>106</v>
      </c>
      <c r="N38" s="177">
        <f>2005/N37</f>
        <v>0.14851851851851852</v>
      </c>
      <c r="O38" s="47"/>
      <c r="W38" s="160" t="s">
        <v>123</v>
      </c>
      <c r="X38" s="160" t="s">
        <v>121</v>
      </c>
      <c r="Y38" s="160" t="s">
        <v>120</v>
      </c>
    </row>
    <row r="39" spans="1:48" x14ac:dyDescent="0.25">
      <c r="B39" s="15" t="s">
        <v>3</v>
      </c>
      <c r="K39" s="19"/>
      <c r="M39" s="59" t="s">
        <v>111</v>
      </c>
      <c r="N39" s="177">
        <f>W39/SUM(W39:Y39)</f>
        <v>0.37460815047021945</v>
      </c>
      <c r="O39" s="100" t="s">
        <v>122</v>
      </c>
      <c r="P39" s="144" t="s">
        <v>119</v>
      </c>
      <c r="W39" s="131">
        <v>23900</v>
      </c>
      <c r="X39" s="131">
        <v>27700</v>
      </c>
      <c r="Y39" s="131">
        <v>12200</v>
      </c>
    </row>
    <row r="40" spans="1:48" ht="15" customHeight="1" x14ac:dyDescent="0.25">
      <c r="A40" s="6" t="s">
        <v>24</v>
      </c>
      <c r="B40" s="367" t="s">
        <v>138</v>
      </c>
      <c r="C40" s="367"/>
      <c r="D40" s="367"/>
      <c r="E40" s="367"/>
      <c r="F40" s="367"/>
      <c r="G40" s="367"/>
      <c r="H40" s="367"/>
      <c r="I40" s="367"/>
      <c r="J40" s="367"/>
      <c r="K40" s="367"/>
      <c r="M40" s="178" t="s">
        <v>109</v>
      </c>
      <c r="N40" s="179">
        <v>2.1</v>
      </c>
      <c r="O40" s="140" t="s">
        <v>108</v>
      </c>
      <c r="W40" s="158" t="s">
        <v>145</v>
      </c>
      <c r="X40" s="158" t="s">
        <v>145</v>
      </c>
      <c r="Y40" s="158" t="s">
        <v>146</v>
      </c>
    </row>
    <row r="41" spans="1:48" ht="15" customHeight="1" x14ac:dyDescent="0.25">
      <c r="B41" s="367"/>
      <c r="C41" s="367"/>
      <c r="D41" s="367"/>
      <c r="E41" s="367"/>
      <c r="F41" s="367"/>
      <c r="G41" s="367"/>
      <c r="H41" s="367"/>
      <c r="I41" s="367"/>
      <c r="J41" s="367"/>
      <c r="K41" s="367"/>
      <c r="M41" s="160" t="s">
        <v>110</v>
      </c>
      <c r="N41" s="179">
        <f>(7-4)/60</f>
        <v>0.05</v>
      </c>
      <c r="O41" s="140" t="s">
        <v>108</v>
      </c>
    </row>
    <row r="42" spans="1:48" ht="15" customHeight="1" x14ac:dyDescent="0.25">
      <c r="B42" s="367"/>
      <c r="C42" s="367"/>
      <c r="D42" s="367"/>
      <c r="E42" s="367"/>
      <c r="F42" s="367"/>
      <c r="G42" s="367"/>
      <c r="H42" s="367"/>
      <c r="I42" s="367"/>
      <c r="J42" s="367"/>
      <c r="K42" s="367"/>
      <c r="M42" s="172" t="s">
        <v>124</v>
      </c>
      <c r="N42" s="173">
        <v>40</v>
      </c>
      <c r="O42" s="164">
        <f>N42*N43*N44</f>
        <v>64.599040000000002</v>
      </c>
      <c r="P42" s="159" t="s">
        <v>83</v>
      </c>
    </row>
    <row r="43" spans="1:48" ht="15" customHeight="1" x14ac:dyDescent="0.25">
      <c r="B43" s="367"/>
      <c r="C43" s="367"/>
      <c r="D43" s="367"/>
      <c r="E43" s="367"/>
      <c r="F43" s="367"/>
      <c r="G43" s="367"/>
      <c r="H43" s="367"/>
      <c r="I43" s="367"/>
      <c r="J43" s="367"/>
      <c r="K43" s="367"/>
      <c r="M43" s="172" t="s">
        <v>84</v>
      </c>
      <c r="N43" s="160">
        <v>1.24</v>
      </c>
      <c r="O43" s="159"/>
      <c r="P43" s="150"/>
      <c r="Q43" s="150"/>
      <c r="Y43" s="145"/>
    </row>
    <row r="44" spans="1:48" ht="15" customHeight="1" x14ac:dyDescent="0.25">
      <c r="B44" s="367"/>
      <c r="C44" s="367"/>
      <c r="D44" s="367"/>
      <c r="E44" s="367"/>
      <c r="F44" s="367"/>
      <c r="G44" s="367"/>
      <c r="H44" s="367"/>
      <c r="I44" s="367"/>
      <c r="J44" s="367"/>
      <c r="K44" s="367"/>
      <c r="M44" s="172" t="s">
        <v>85</v>
      </c>
      <c r="N44" s="174">
        <v>1.3024</v>
      </c>
      <c r="O44" s="150"/>
      <c r="P44" s="150"/>
      <c r="Q44" s="150"/>
    </row>
    <row r="45" spans="1:48" x14ac:dyDescent="0.25">
      <c r="B45" s="367"/>
      <c r="C45" s="367"/>
      <c r="D45" s="367"/>
      <c r="E45" s="367"/>
      <c r="F45" s="367"/>
      <c r="G45" s="367"/>
      <c r="H45" s="367"/>
      <c r="I45" s="367"/>
      <c r="J45" s="367"/>
      <c r="K45" s="367"/>
      <c r="L45" s="109"/>
      <c r="M45" s="109"/>
      <c r="N45" s="47"/>
      <c r="O45" s="47"/>
    </row>
    <row r="46" spans="1:48" ht="17.25" x14ac:dyDescent="0.25">
      <c r="B46" s="367"/>
      <c r="C46" s="367"/>
      <c r="D46" s="367"/>
      <c r="E46" s="367"/>
      <c r="F46" s="367"/>
      <c r="G46" s="367"/>
      <c r="H46" s="367"/>
      <c r="I46" s="367"/>
      <c r="J46" s="367"/>
      <c r="K46" s="367"/>
      <c r="L46" s="109"/>
      <c r="M46" s="182" t="s">
        <v>193</v>
      </c>
      <c r="N46" s="47"/>
      <c r="O46" s="47"/>
    </row>
    <row r="47" spans="1:48" x14ac:dyDescent="0.25">
      <c r="B47" s="367"/>
      <c r="C47" s="367"/>
      <c r="D47" s="367"/>
      <c r="E47" s="367"/>
      <c r="F47" s="367"/>
      <c r="G47" s="367"/>
      <c r="H47" s="367"/>
      <c r="I47" s="367"/>
      <c r="J47" s="367"/>
      <c r="K47" s="367"/>
      <c r="L47" s="109"/>
      <c r="M47" s="139" t="s">
        <v>188</v>
      </c>
      <c r="N47" s="228">
        <v>2020</v>
      </c>
      <c r="O47" s="228">
        <v>2045</v>
      </c>
    </row>
    <row r="48" spans="1:48" x14ac:dyDescent="0.25">
      <c r="B48" s="367"/>
      <c r="C48" s="367"/>
      <c r="D48" s="367"/>
      <c r="E48" s="367"/>
      <c r="F48" s="367"/>
      <c r="G48" s="367"/>
      <c r="H48" s="367"/>
      <c r="I48" s="367"/>
      <c r="J48" s="367"/>
      <c r="K48" s="367"/>
      <c r="L48" s="109"/>
      <c r="M48" s="208" t="s">
        <v>318</v>
      </c>
      <c r="N48" s="209">
        <f>SUM(AB12,AB14,AB27,AB29)</f>
        <v>86425.06237098611</v>
      </c>
      <c r="O48" s="210">
        <f>SUM(AB18,AB20,AB33,AB35)</f>
        <v>110628.87764279859</v>
      </c>
      <c r="P48" s="150"/>
      <c r="Q48" s="150"/>
    </row>
    <row r="49" spans="1:15" x14ac:dyDescent="0.25">
      <c r="B49" s="19"/>
      <c r="C49" s="19"/>
      <c r="D49" s="19"/>
      <c r="E49" s="19"/>
      <c r="F49" s="19"/>
      <c r="G49" s="19"/>
      <c r="H49" s="19"/>
      <c r="I49" s="19"/>
      <c r="J49" s="19"/>
      <c r="K49" s="19"/>
      <c r="L49" s="109"/>
      <c r="M49" s="208" t="s">
        <v>28</v>
      </c>
      <c r="N49" s="209">
        <f>SUM(AB13,AB15,AB28,AB30)</f>
        <v>56690.336780395824</v>
      </c>
      <c r="O49" s="210">
        <f>SUM(AB19,AB21,AB34,AB36)</f>
        <v>70641.628654715256</v>
      </c>
    </row>
    <row r="50" spans="1:15" x14ac:dyDescent="0.25">
      <c r="A50" s="152" t="s">
        <v>23</v>
      </c>
      <c r="B50" s="367" t="s">
        <v>139</v>
      </c>
      <c r="C50" s="367"/>
      <c r="D50" s="367"/>
      <c r="E50" s="367"/>
      <c r="F50" s="367"/>
      <c r="G50" s="367"/>
      <c r="H50" s="367"/>
      <c r="I50" s="367"/>
      <c r="J50" s="367"/>
      <c r="K50" s="367"/>
      <c r="L50" s="109"/>
    </row>
    <row r="51" spans="1:15" x14ac:dyDescent="0.25">
      <c r="A51" s="152"/>
      <c r="B51" s="367"/>
      <c r="C51" s="367"/>
      <c r="D51" s="367"/>
      <c r="E51" s="367"/>
      <c r="F51" s="367"/>
      <c r="G51" s="367"/>
      <c r="H51" s="367"/>
      <c r="I51" s="367"/>
      <c r="J51" s="367"/>
      <c r="K51" s="367"/>
      <c r="L51" s="109"/>
    </row>
    <row r="52" spans="1:15" x14ac:dyDescent="0.25">
      <c r="A52" s="152"/>
      <c r="B52" s="367"/>
      <c r="C52" s="367"/>
      <c r="D52" s="367"/>
      <c r="E52" s="367"/>
      <c r="F52" s="367"/>
      <c r="G52" s="367"/>
      <c r="H52" s="367"/>
      <c r="I52" s="367"/>
      <c r="J52" s="367"/>
      <c r="K52" s="367"/>
      <c r="L52" s="109"/>
    </row>
    <row r="53" spans="1:15" s="150" customFormat="1" x14ac:dyDescent="0.25">
      <c r="A53" s="152"/>
      <c r="B53" s="171"/>
      <c r="C53" s="171"/>
      <c r="D53" s="171"/>
      <c r="E53" s="171"/>
      <c r="F53" s="171"/>
      <c r="G53" s="171"/>
      <c r="H53" s="171"/>
      <c r="I53" s="184"/>
      <c r="J53" s="171"/>
      <c r="K53" s="171"/>
      <c r="L53" s="170"/>
    </row>
    <row r="54" spans="1:15" s="150" customFormat="1" ht="15" customHeight="1" x14ac:dyDescent="0.25">
      <c r="A54" s="152" t="s">
        <v>55</v>
      </c>
      <c r="B54" s="367" t="s">
        <v>140</v>
      </c>
      <c r="C54" s="367"/>
      <c r="D54" s="367"/>
      <c r="E54" s="367"/>
      <c r="F54" s="367"/>
      <c r="G54" s="367"/>
      <c r="H54" s="367"/>
      <c r="I54" s="367"/>
      <c r="J54" s="367"/>
      <c r="K54" s="367"/>
      <c r="L54" s="170"/>
      <c r="M54" s="53"/>
      <c r="N54" s="47"/>
    </row>
    <row r="55" spans="1:15" s="150" customFormat="1" x14ac:dyDescent="0.25">
      <c r="A55" s="152"/>
      <c r="B55" s="367"/>
      <c r="C55" s="367"/>
      <c r="D55" s="367"/>
      <c r="E55" s="367"/>
      <c r="F55" s="367"/>
      <c r="G55" s="367"/>
      <c r="H55" s="367"/>
      <c r="I55" s="367"/>
      <c r="J55" s="367"/>
      <c r="K55" s="367"/>
      <c r="L55" s="170"/>
      <c r="M55" s="53"/>
      <c r="N55" s="47"/>
    </row>
    <row r="56" spans="1:15" s="150" customFormat="1" x14ac:dyDescent="0.25">
      <c r="A56" s="152"/>
      <c r="B56" s="367"/>
      <c r="C56" s="367"/>
      <c r="D56" s="367"/>
      <c r="E56" s="367"/>
      <c r="F56" s="367"/>
      <c r="G56" s="367"/>
      <c r="H56" s="367"/>
      <c r="I56" s="367"/>
      <c r="J56" s="367"/>
      <c r="K56" s="367"/>
      <c r="L56" s="170"/>
      <c r="M56" s="53"/>
      <c r="N56" s="47"/>
    </row>
    <row r="57" spans="1:15" s="150" customFormat="1" x14ac:dyDescent="0.25">
      <c r="A57" s="152"/>
      <c r="B57" s="367"/>
      <c r="C57" s="367"/>
      <c r="D57" s="367"/>
      <c r="E57" s="367"/>
      <c r="F57" s="367"/>
      <c r="G57" s="367"/>
      <c r="H57" s="367"/>
      <c r="I57" s="367"/>
      <c r="J57" s="367"/>
      <c r="K57" s="367"/>
      <c r="L57" s="170"/>
      <c r="M57" s="53"/>
      <c r="N57" s="47"/>
    </row>
    <row r="58" spans="1:15" s="150" customFormat="1" x14ac:dyDescent="0.25">
      <c r="A58" s="152"/>
      <c r="B58" s="171"/>
      <c r="C58" s="171"/>
      <c r="D58" s="171"/>
      <c r="E58" s="171"/>
      <c r="F58" s="171"/>
      <c r="G58" s="171"/>
      <c r="H58" s="171"/>
      <c r="I58" s="184"/>
      <c r="J58" s="171"/>
      <c r="K58" s="171"/>
      <c r="L58" s="170"/>
      <c r="M58" s="53"/>
      <c r="N58" s="47"/>
    </row>
    <row r="59" spans="1:15" s="150" customFormat="1" x14ac:dyDescent="0.25">
      <c r="A59" s="152" t="s">
        <v>56</v>
      </c>
      <c r="B59" s="367" t="s">
        <v>147</v>
      </c>
      <c r="C59" s="367"/>
      <c r="D59" s="367"/>
      <c r="E59" s="367"/>
      <c r="F59" s="367"/>
      <c r="G59" s="367"/>
      <c r="H59" s="367"/>
      <c r="I59" s="367"/>
      <c r="J59" s="367"/>
      <c r="K59" s="367"/>
      <c r="L59" s="170"/>
      <c r="M59" s="53"/>
      <c r="N59" s="47"/>
    </row>
    <row r="60" spans="1:15" s="150" customFormat="1" x14ac:dyDescent="0.25">
      <c r="B60" s="367"/>
      <c r="C60" s="367"/>
      <c r="D60" s="367"/>
      <c r="E60" s="367"/>
      <c r="F60" s="367"/>
      <c r="G60" s="367"/>
      <c r="H60" s="367"/>
      <c r="I60" s="367"/>
      <c r="J60" s="367"/>
      <c r="K60" s="367"/>
      <c r="L60" s="170"/>
      <c r="M60" s="53"/>
      <c r="N60" s="47"/>
    </row>
    <row r="61" spans="1:15" s="150" customFormat="1" x14ac:dyDescent="0.25">
      <c r="B61" s="367"/>
      <c r="C61" s="367"/>
      <c r="D61" s="367"/>
      <c r="E61" s="367"/>
      <c r="F61" s="367"/>
      <c r="G61" s="367"/>
      <c r="H61" s="367"/>
      <c r="I61" s="367"/>
      <c r="J61" s="367"/>
      <c r="K61" s="367"/>
      <c r="L61" s="170"/>
      <c r="M61" s="53"/>
      <c r="N61" s="47"/>
    </row>
    <row r="62" spans="1:15" s="150" customFormat="1" x14ac:dyDescent="0.25">
      <c r="B62" s="367"/>
      <c r="C62" s="367"/>
      <c r="D62" s="367"/>
      <c r="E62" s="367"/>
      <c r="F62" s="367"/>
      <c r="G62" s="367"/>
      <c r="H62" s="367"/>
      <c r="I62" s="367"/>
      <c r="J62" s="367"/>
      <c r="K62" s="367"/>
      <c r="L62" s="170"/>
      <c r="M62" s="53"/>
      <c r="N62" s="47"/>
    </row>
    <row r="63" spans="1:15" s="150" customFormat="1" x14ac:dyDescent="0.25">
      <c r="B63" s="367"/>
      <c r="C63" s="367"/>
      <c r="D63" s="367"/>
      <c r="E63" s="367"/>
      <c r="F63" s="367"/>
      <c r="G63" s="367"/>
      <c r="H63" s="367"/>
      <c r="I63" s="367"/>
      <c r="J63" s="367"/>
      <c r="K63" s="367"/>
      <c r="L63" s="170"/>
      <c r="M63" s="53"/>
      <c r="N63" s="47"/>
    </row>
    <row r="64" spans="1:15" s="150" customFormat="1" x14ac:dyDescent="0.25">
      <c r="B64" s="367"/>
      <c r="C64" s="367"/>
      <c r="D64" s="367"/>
      <c r="E64" s="367"/>
      <c r="F64" s="367"/>
      <c r="G64" s="367"/>
      <c r="H64" s="367"/>
      <c r="I64" s="367"/>
      <c r="J64" s="367"/>
      <c r="K64" s="367"/>
      <c r="L64" s="170"/>
      <c r="M64" s="53"/>
      <c r="N64" s="47"/>
    </row>
    <row r="65" spans="1:14" s="150" customFormat="1" x14ac:dyDescent="0.25">
      <c r="B65" s="367"/>
      <c r="C65" s="367"/>
      <c r="D65" s="367"/>
      <c r="E65" s="367"/>
      <c r="F65" s="367"/>
      <c r="G65" s="367"/>
      <c r="H65" s="367"/>
      <c r="I65" s="367"/>
      <c r="J65" s="367"/>
      <c r="K65" s="367"/>
      <c r="L65" s="170"/>
      <c r="M65" s="53"/>
      <c r="N65" s="47"/>
    </row>
    <row r="66" spans="1:14" s="150" customFormat="1" x14ac:dyDescent="0.25">
      <c r="B66" s="367"/>
      <c r="C66" s="367"/>
      <c r="D66" s="367"/>
      <c r="E66" s="367"/>
      <c r="F66" s="367"/>
      <c r="G66" s="367"/>
      <c r="H66" s="367"/>
      <c r="I66" s="367"/>
      <c r="J66" s="367"/>
      <c r="K66" s="367"/>
      <c r="L66" s="170"/>
      <c r="M66" s="53"/>
      <c r="N66" s="47"/>
    </row>
    <row r="67" spans="1:14" s="150" customFormat="1" x14ac:dyDescent="0.25">
      <c r="B67" s="367"/>
      <c r="C67" s="367"/>
      <c r="D67" s="367"/>
      <c r="E67" s="367"/>
      <c r="F67" s="367"/>
      <c r="G67" s="367"/>
      <c r="H67" s="367"/>
      <c r="I67" s="367"/>
      <c r="J67" s="367"/>
      <c r="K67" s="367"/>
      <c r="L67" s="170"/>
      <c r="M67" s="53"/>
      <c r="N67" s="47"/>
    </row>
    <row r="68" spans="1:14" s="150" customFormat="1" x14ac:dyDescent="0.25">
      <c r="B68" s="367"/>
      <c r="C68" s="367"/>
      <c r="D68" s="367"/>
      <c r="E68" s="367"/>
      <c r="F68" s="367"/>
      <c r="G68" s="367"/>
      <c r="H68" s="367"/>
      <c r="I68" s="367"/>
      <c r="J68" s="367"/>
      <c r="K68" s="367"/>
      <c r="L68" s="170"/>
      <c r="M68" s="53"/>
      <c r="N68" s="47"/>
    </row>
    <row r="69" spans="1:14" s="150" customFormat="1" x14ac:dyDescent="0.25">
      <c r="B69" s="367"/>
      <c r="C69" s="367"/>
      <c r="D69" s="367"/>
      <c r="E69" s="367"/>
      <c r="F69" s="367"/>
      <c r="G69" s="367"/>
      <c r="H69" s="367"/>
      <c r="I69" s="367"/>
      <c r="J69" s="367"/>
      <c r="K69" s="367"/>
      <c r="L69" s="170"/>
      <c r="M69" s="53"/>
      <c r="N69" s="47"/>
    </row>
    <row r="70" spans="1:14" ht="15" customHeight="1" x14ac:dyDescent="0.25">
      <c r="L70" s="109"/>
      <c r="M70" s="21"/>
      <c r="N70" s="47"/>
    </row>
    <row r="71" spans="1:14" ht="15" customHeight="1" x14ac:dyDescent="0.25">
      <c r="A71" s="6" t="s">
        <v>134</v>
      </c>
      <c r="B71" s="369" t="s">
        <v>317</v>
      </c>
      <c r="C71" s="369"/>
      <c r="D71" s="369"/>
      <c r="E71" s="369"/>
      <c r="F71" s="369"/>
      <c r="G71" s="369"/>
      <c r="H71" s="369"/>
      <c r="I71" s="369"/>
      <c r="J71" s="369"/>
      <c r="K71" s="369"/>
      <c r="L71" s="109"/>
      <c r="M71" s="109"/>
      <c r="N71" s="21"/>
    </row>
    <row r="72" spans="1:14" ht="15" customHeight="1" x14ac:dyDescent="0.25">
      <c r="B72" s="369"/>
      <c r="C72" s="369"/>
      <c r="D72" s="369"/>
      <c r="E72" s="369"/>
      <c r="F72" s="369"/>
      <c r="G72" s="369"/>
      <c r="H72" s="369"/>
      <c r="I72" s="369"/>
      <c r="J72" s="369"/>
      <c r="K72" s="369"/>
      <c r="L72" s="109"/>
      <c r="M72" s="109"/>
    </row>
    <row r="73" spans="1:14" ht="15" customHeight="1" x14ac:dyDescent="0.25">
      <c r="B73" s="369"/>
      <c r="C73" s="369"/>
      <c r="D73" s="369"/>
      <c r="E73" s="369"/>
      <c r="F73" s="369"/>
      <c r="G73" s="369"/>
      <c r="H73" s="369"/>
      <c r="I73" s="369"/>
      <c r="J73" s="369"/>
      <c r="K73" s="369"/>
      <c r="L73" s="109"/>
      <c r="M73" s="109"/>
    </row>
    <row r="74" spans="1:14" x14ac:dyDescent="0.25">
      <c r="A74" s="152" t="s">
        <v>191</v>
      </c>
      <c r="B74" s="369" t="s">
        <v>319</v>
      </c>
      <c r="C74" s="369"/>
      <c r="D74" s="369"/>
      <c r="E74" s="369"/>
      <c r="F74" s="369"/>
      <c r="G74" s="369"/>
      <c r="H74" s="369"/>
      <c r="I74" s="369"/>
      <c r="J74" s="369"/>
      <c r="K74" s="369"/>
      <c r="L74" s="14"/>
    </row>
    <row r="75" spans="1:14" s="150" customFormat="1" x14ac:dyDescent="0.25">
      <c r="A75" s="152"/>
      <c r="B75" s="369"/>
      <c r="C75" s="369"/>
      <c r="D75" s="369"/>
      <c r="E75" s="369"/>
      <c r="F75" s="369"/>
      <c r="G75" s="369"/>
      <c r="H75" s="369"/>
      <c r="I75" s="369"/>
      <c r="J75" s="369"/>
      <c r="K75" s="369"/>
      <c r="L75" s="14"/>
    </row>
    <row r="76" spans="1:14" x14ac:dyDescent="0.25">
      <c r="L76" s="109"/>
    </row>
    <row r="77" spans="1:14" x14ac:dyDescent="0.25">
      <c r="L77" s="109"/>
    </row>
    <row r="78" spans="1:14" x14ac:dyDescent="0.25">
      <c r="L78" s="109"/>
    </row>
  </sheetData>
  <mergeCells count="26">
    <mergeCell ref="B74:K75"/>
    <mergeCell ref="Z1:AA1"/>
    <mergeCell ref="Z33:Z34"/>
    <mergeCell ref="Z35:Z36"/>
    <mergeCell ref="Z18:Z19"/>
    <mergeCell ref="Z20:Z21"/>
    <mergeCell ref="Z12:Z13"/>
    <mergeCell ref="Z14:Z15"/>
    <mergeCell ref="Z27:Z28"/>
    <mergeCell ref="Z29:Z30"/>
    <mergeCell ref="B54:K57"/>
    <mergeCell ref="B59:K69"/>
    <mergeCell ref="M6:N6"/>
    <mergeCell ref="B71:K73"/>
    <mergeCell ref="B5:B6"/>
    <mergeCell ref="C5:C6"/>
    <mergeCell ref="B40:K48"/>
    <mergeCell ref="B50:K52"/>
    <mergeCell ref="I5:I6"/>
    <mergeCell ref="D5:D6"/>
    <mergeCell ref="G5:G6"/>
    <mergeCell ref="J5:J6"/>
    <mergeCell ref="K5:K6"/>
    <mergeCell ref="H5:H6"/>
    <mergeCell ref="E5:E6"/>
    <mergeCell ref="F5:F6"/>
  </mergeCells>
  <hyperlinks>
    <hyperlink ref="P29" r:id="rId1" xr:uid="{FDDE0CE5-2A46-47AA-8EE6-9F7709918C30}"/>
    <hyperlink ref="P19" r:id="rId2" xr:uid="{2358672B-89AB-4E82-BED3-AB8E712CAE81}"/>
    <hyperlink ref="P20" r:id="rId3" xr:uid="{17A4C9C9-52C6-447A-9C2D-42CC96DEB622}"/>
    <hyperlink ref="P39" r:id="rId4" xr:uid="{AA70ECBC-D5D7-4518-9734-F0745389811A}"/>
    <hyperlink ref="P42" r:id="rId5" xr:uid="{662081B1-B4E3-4B4C-B5A7-D2763C90532E}"/>
  </hyperlinks>
  <pageMargins left="0.25" right="0.25" top="0.75" bottom="0.75" header="0.3" footer="0.3"/>
  <pageSetup paperSize="119" scale="45"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C5C47-78F0-46C5-916B-BE633B53957B}">
  <sheetPr>
    <tabColor rgb="FFC00000"/>
    <pageSetUpPr fitToPage="1"/>
  </sheetPr>
  <dimension ref="A2:K61"/>
  <sheetViews>
    <sheetView view="pageBreakPreview" zoomScale="85" zoomScaleNormal="85" zoomScaleSheetLayoutView="85" workbookViewId="0">
      <selection activeCell="B1" sqref="B1:F1"/>
    </sheetView>
  </sheetViews>
  <sheetFormatPr defaultRowHeight="15" x14ac:dyDescent="0.25"/>
  <cols>
    <col min="1" max="1" width="5.140625" style="100" customWidth="1"/>
    <col min="2" max="7" width="15.7109375" style="100" customWidth="1"/>
    <col min="8" max="8" width="27.85546875" style="100" customWidth="1"/>
    <col min="9" max="10" width="21.140625" style="100" customWidth="1"/>
    <col min="11" max="11" width="16" style="100" customWidth="1"/>
    <col min="12" max="16384" width="9.140625" style="100"/>
  </cols>
  <sheetData>
    <row r="2" spans="2:11" x14ac:dyDescent="0.25">
      <c r="B2" s="101" t="s">
        <v>51</v>
      </c>
    </row>
    <row r="3" spans="2:11" ht="15.75" customHeight="1" x14ac:dyDescent="0.25">
      <c r="C3" s="123"/>
      <c r="D3" s="123"/>
      <c r="E3" s="123"/>
      <c r="F3" s="123"/>
    </row>
    <row r="4" spans="2:11" ht="15.75" thickBot="1" x14ac:dyDescent="0.3">
      <c r="C4" s="123"/>
      <c r="D4" s="123"/>
      <c r="E4" s="123"/>
      <c r="F4" s="123"/>
    </row>
    <row r="5" spans="2:11" ht="15.75" customHeight="1" x14ac:dyDescent="0.25">
      <c r="B5" s="380" t="s">
        <v>0</v>
      </c>
      <c r="C5" s="382" t="s">
        <v>26</v>
      </c>
      <c r="D5" s="384" t="s">
        <v>1</v>
      </c>
      <c r="E5" s="386" t="s">
        <v>47</v>
      </c>
      <c r="F5" s="370" t="s">
        <v>48</v>
      </c>
      <c r="H5" s="101" t="s">
        <v>32</v>
      </c>
    </row>
    <row r="6" spans="2:11" ht="15.75" customHeight="1" thickBot="1" x14ac:dyDescent="0.3">
      <c r="B6" s="381"/>
      <c r="C6" s="383"/>
      <c r="D6" s="385"/>
      <c r="E6" s="387"/>
      <c r="F6" s="371"/>
      <c r="I6" s="111" t="s">
        <v>54</v>
      </c>
      <c r="J6" s="104"/>
    </row>
    <row r="7" spans="2:11" ht="15.75" customHeight="1" x14ac:dyDescent="0.25">
      <c r="B7" s="302">
        <f>'Global Assumptions'!$C$6</f>
        <v>2019</v>
      </c>
      <c r="C7" s="308">
        <f t="shared" ref="C7:C44" si="0">IF(AND($B7&gt;=$I$7,$B7&lt;$I$7+$I$8),($J$19)/$I$8,0)</f>
        <v>0</v>
      </c>
      <c r="D7" s="303">
        <f>C7*(1+0.07)^-($B7-'Global Assumptions'!$C$6)</f>
        <v>0</v>
      </c>
      <c r="E7" s="309">
        <f>IF($B7=$I$11,'B_Roadway Improvements_Costs'!$J$27,0)</f>
        <v>0</v>
      </c>
      <c r="F7" s="303">
        <f>E7*(1+0.07)^-($B7-'Global Assumptions'!$C$6)</f>
        <v>0</v>
      </c>
      <c r="H7" s="8" t="s">
        <v>33</v>
      </c>
      <c r="I7" s="95">
        <v>2021</v>
      </c>
      <c r="J7" s="9"/>
    </row>
    <row r="8" spans="2:11" ht="15.75" customHeight="1" x14ac:dyDescent="0.25">
      <c r="B8" s="106">
        <f>B7+1</f>
        <v>2020</v>
      </c>
      <c r="C8" s="304">
        <f t="shared" si="0"/>
        <v>0</v>
      </c>
      <c r="D8" s="305">
        <f>C8*(1+0.07)^-($B8-'Global Assumptions'!$C$6)</f>
        <v>0</v>
      </c>
      <c r="E8" s="310">
        <f>IF($B8=$I$11,'B_Roadway Improvements_Costs'!$J$27,0)</f>
        <v>0</v>
      </c>
      <c r="F8" s="305">
        <f>E8*(1+0.07)^-($B8-'Global Assumptions'!$C$6)</f>
        <v>0</v>
      </c>
      <c r="H8" s="8" t="s">
        <v>31</v>
      </c>
      <c r="I8" s="95">
        <v>3</v>
      </c>
      <c r="J8" s="105"/>
    </row>
    <row r="9" spans="2:11" ht="15.75" customHeight="1" x14ac:dyDescent="0.25">
      <c r="B9" s="106">
        <f t="shared" ref="B9:B44" si="1">B8+1</f>
        <v>2021</v>
      </c>
      <c r="C9" s="306">
        <f t="shared" si="0"/>
        <v>3533333.3333333335</v>
      </c>
      <c r="D9" s="71">
        <f>C9*(1+0.07)^-($B9-'Global Assumptions'!$C$6)</f>
        <v>3086150.1732320143</v>
      </c>
      <c r="E9" s="301">
        <f>IF($B9=$I$11,'B_Roadway Improvements_Costs'!$J$27,0)</f>
        <v>0</v>
      </c>
      <c r="F9" s="71">
        <f>E9*(1+0.07)^-($B9-'Global Assumptions'!$C$6)</f>
        <v>0</v>
      </c>
      <c r="H9" s="64" t="s">
        <v>59</v>
      </c>
      <c r="I9" s="65">
        <v>20</v>
      </c>
      <c r="J9" s="105"/>
    </row>
    <row r="10" spans="2:11" ht="15.75" customHeight="1" x14ac:dyDescent="0.25">
      <c r="B10" s="106">
        <f t="shared" si="1"/>
        <v>2022</v>
      </c>
      <c r="C10" s="306">
        <f t="shared" si="0"/>
        <v>3533333.3333333335</v>
      </c>
      <c r="D10" s="71">
        <f>C10*(1+0.07)^-($B10-'Global Assumptions'!$C$6)</f>
        <v>2884252.4983476768</v>
      </c>
      <c r="E10" s="301">
        <f>IF($B10=$I$11,'B_Roadway Improvements_Costs'!$J$27,0)</f>
        <v>0</v>
      </c>
      <c r="F10" s="71">
        <f>E10*(1+0.07)^-($B10-'Global Assumptions'!$C$6)</f>
        <v>0</v>
      </c>
      <c r="H10" s="64" t="s">
        <v>53</v>
      </c>
      <c r="I10" s="65">
        <f>I7+I8</f>
        <v>2024</v>
      </c>
    </row>
    <row r="11" spans="2:11" ht="15.75" customHeight="1" x14ac:dyDescent="0.25">
      <c r="B11" s="106">
        <f t="shared" si="1"/>
        <v>2023</v>
      </c>
      <c r="C11" s="306">
        <f t="shared" si="0"/>
        <v>3533333.3333333335</v>
      </c>
      <c r="D11" s="71">
        <f>C11*(1+0.07)^-($B11-'Global Assumptions'!$C$6)</f>
        <v>2695563.0825679223</v>
      </c>
      <c r="E11" s="301">
        <f>IF($B11=$I$11,'B_Roadway Improvements_Costs'!$J$27,0)</f>
        <v>0</v>
      </c>
      <c r="F11" s="71">
        <f>E11*(1+0.07)^-($B11-'Global Assumptions'!$C$6)</f>
        <v>0</v>
      </c>
      <c r="H11" s="64" t="s">
        <v>43</v>
      </c>
      <c r="I11" s="65">
        <f>I10+I9-1</f>
        <v>2043</v>
      </c>
    </row>
    <row r="12" spans="2:11" ht="15.75" customHeight="1" x14ac:dyDescent="0.25">
      <c r="B12" s="106">
        <f t="shared" si="1"/>
        <v>2024</v>
      </c>
      <c r="C12" s="306">
        <f t="shared" si="0"/>
        <v>0</v>
      </c>
      <c r="D12" s="71">
        <f>C12*(1+0.07)^-($B12-'Global Assumptions'!$C$6)</f>
        <v>0</v>
      </c>
      <c r="E12" s="301">
        <f>IF($B12=$I$11,'B_Roadway Improvements_Costs'!$J$27,0)</f>
        <v>0</v>
      </c>
      <c r="F12" s="71">
        <f>E12*(1+0.07)^-($B12-'Global Assumptions'!$C$6)</f>
        <v>0</v>
      </c>
      <c r="H12" s="64" t="s">
        <v>75</v>
      </c>
      <c r="I12" s="65">
        <v>30</v>
      </c>
    </row>
    <row r="13" spans="2:11" ht="15.75" customHeight="1" x14ac:dyDescent="0.25">
      <c r="B13" s="106">
        <f t="shared" si="1"/>
        <v>2025</v>
      </c>
      <c r="C13" s="306">
        <f t="shared" si="0"/>
        <v>0</v>
      </c>
      <c r="D13" s="71">
        <f>C13*(1+0.07)^-($B13-'Global Assumptions'!$C$6)</f>
        <v>0</v>
      </c>
      <c r="E13" s="301">
        <f>IF($B13=$I$11,'B_Roadway Improvements_Costs'!$J$27,0)</f>
        <v>0</v>
      </c>
      <c r="F13" s="71">
        <f>E13*(1+0.07)^-($B13-'Global Assumptions'!$C$6)</f>
        <v>0</v>
      </c>
      <c r="H13" s="129"/>
      <c r="I13" s="130"/>
    </row>
    <row r="14" spans="2:11" ht="15.75" customHeight="1" x14ac:dyDescent="0.25">
      <c r="B14" s="106">
        <f t="shared" si="1"/>
        <v>2026</v>
      </c>
      <c r="C14" s="306">
        <f t="shared" si="0"/>
        <v>0</v>
      </c>
      <c r="D14" s="71">
        <f>C14*(1+0.07)^-($B14-'Global Assumptions'!$C$6)</f>
        <v>0</v>
      </c>
      <c r="E14" s="301">
        <f>IF($B14=$I$11,'B_Roadway Improvements_Costs'!$J$27,0)</f>
        <v>0</v>
      </c>
      <c r="F14" s="71">
        <f>E14*(1+0.07)^-($B14-'Global Assumptions'!$C$6)</f>
        <v>0</v>
      </c>
      <c r="H14" s="22" t="s">
        <v>34</v>
      </c>
      <c r="J14" s="124"/>
      <c r="K14" s="22"/>
    </row>
    <row r="15" spans="2:11" ht="15.75" customHeight="1" x14ac:dyDescent="0.25">
      <c r="B15" s="106">
        <f t="shared" si="1"/>
        <v>2027</v>
      </c>
      <c r="C15" s="306">
        <f t="shared" si="0"/>
        <v>0</v>
      </c>
      <c r="D15" s="71">
        <f>C15*(1+0.07)^-($B15-'Global Assumptions'!$C$6)</f>
        <v>0</v>
      </c>
      <c r="E15" s="301">
        <f>IF($B15=$I$11,'B_Roadway Improvements_Costs'!$J$27,0)</f>
        <v>0</v>
      </c>
      <c r="F15" s="71">
        <f>E15*(1+0.07)^-($B15-'Global Assumptions'!$C$6)</f>
        <v>0</v>
      </c>
      <c r="H15" s="397" t="s">
        <v>4</v>
      </c>
      <c r="I15" s="390" t="s">
        <v>5</v>
      </c>
      <c r="J15" s="393" t="s">
        <v>261</v>
      </c>
      <c r="K15" s="73"/>
    </row>
    <row r="16" spans="2:11" ht="15.75" customHeight="1" x14ac:dyDescent="0.25">
      <c r="B16" s="106">
        <f t="shared" si="1"/>
        <v>2028</v>
      </c>
      <c r="C16" s="306">
        <f t="shared" si="0"/>
        <v>0</v>
      </c>
      <c r="D16" s="71">
        <f>C16*(1+0.07)^-($B16-'Global Assumptions'!$C$6)</f>
        <v>0</v>
      </c>
      <c r="E16" s="301">
        <f>IF($B16=$I$11,'B_Roadway Improvements_Costs'!$J$27,0)</f>
        <v>0</v>
      </c>
      <c r="F16" s="71">
        <f>E16*(1+0.07)^-($B16-'Global Assumptions'!$C$6)</f>
        <v>0</v>
      </c>
      <c r="H16" s="398"/>
      <c r="I16" s="391"/>
      <c r="J16" s="394"/>
      <c r="K16" s="73"/>
    </row>
    <row r="17" spans="2:11" ht="15.75" customHeight="1" x14ac:dyDescent="0.25">
      <c r="B17" s="106">
        <f t="shared" si="1"/>
        <v>2029</v>
      </c>
      <c r="C17" s="306">
        <f t="shared" si="0"/>
        <v>0</v>
      </c>
      <c r="D17" s="71">
        <f>C17*(1+0.07)^-($B17-'Global Assumptions'!$C$6)</f>
        <v>0</v>
      </c>
      <c r="E17" s="301">
        <f>IF($B17=$I$11,'B_Roadway Improvements_Costs'!$J$27,0)</f>
        <v>0</v>
      </c>
      <c r="F17" s="71">
        <f>E17*(1+0.07)^-($B17-'Global Assumptions'!$C$6)</f>
        <v>0</v>
      </c>
      <c r="H17" s="399"/>
      <c r="I17" s="392"/>
      <c r="J17" s="395"/>
      <c r="K17" s="73"/>
    </row>
    <row r="18" spans="2:11" ht="15.75" customHeight="1" x14ac:dyDescent="0.25">
      <c r="B18" s="106">
        <f t="shared" si="1"/>
        <v>2030</v>
      </c>
      <c r="C18" s="306">
        <f t="shared" si="0"/>
        <v>0</v>
      </c>
      <c r="D18" s="71">
        <f>C18*(1+0.07)^-($B18-'Global Assumptions'!$C$6)</f>
        <v>0</v>
      </c>
      <c r="E18" s="301">
        <f>IF($B18=$I$11,'B_Roadway Improvements_Costs'!$J$27,0)</f>
        <v>0</v>
      </c>
      <c r="F18" s="71">
        <f>E18*(1+0.07)^-($B18-'Global Assumptions'!$C$6)</f>
        <v>0</v>
      </c>
      <c r="H18" s="8" t="s">
        <v>99</v>
      </c>
      <c r="I18" s="28">
        <v>30</v>
      </c>
      <c r="J18" s="62">
        <v>10600000</v>
      </c>
      <c r="K18" s="74"/>
    </row>
    <row r="19" spans="2:11" ht="15.75" customHeight="1" x14ac:dyDescent="0.25">
      <c r="B19" s="106">
        <f t="shared" si="1"/>
        <v>2031</v>
      </c>
      <c r="C19" s="306">
        <f t="shared" si="0"/>
        <v>0</v>
      </c>
      <c r="D19" s="71">
        <f>C19*(1+0.07)^-($B19-'Global Assumptions'!$C$6)</f>
        <v>0</v>
      </c>
      <c r="E19" s="301">
        <f>IF($B19=$I$11,'B_Roadway Improvements_Costs'!$J$27,0)</f>
        <v>0</v>
      </c>
      <c r="F19" s="71">
        <f>E19*(1+0.07)^-($B19-'Global Assumptions'!$C$6)</f>
        <v>0</v>
      </c>
      <c r="H19" s="396" t="s">
        <v>30</v>
      </c>
      <c r="I19" s="396"/>
      <c r="J19" s="26">
        <f>SUM(J18:J18)</f>
        <v>10600000</v>
      </c>
      <c r="K19" s="74"/>
    </row>
    <row r="20" spans="2:11" ht="15.75" customHeight="1" x14ac:dyDescent="0.25">
      <c r="B20" s="106">
        <f t="shared" si="1"/>
        <v>2032</v>
      </c>
      <c r="C20" s="306">
        <f t="shared" si="0"/>
        <v>0</v>
      </c>
      <c r="D20" s="71">
        <f>C20*(1+0.07)^-($B20-'Global Assumptions'!$C$6)</f>
        <v>0</v>
      </c>
      <c r="E20" s="301">
        <f>IF($B20=$I$11,'B_Roadway Improvements_Costs'!$J$27,0)</f>
        <v>0</v>
      </c>
      <c r="F20" s="71">
        <f>E20*(1+0.07)^-($B20-'Global Assumptions'!$C$6)</f>
        <v>0</v>
      </c>
      <c r="K20" s="74"/>
    </row>
    <row r="21" spans="2:11" ht="15.75" customHeight="1" x14ac:dyDescent="0.25">
      <c r="B21" s="106">
        <f t="shared" si="1"/>
        <v>2033</v>
      </c>
      <c r="C21" s="306">
        <f t="shared" si="0"/>
        <v>0</v>
      </c>
      <c r="D21" s="71">
        <f>C21*(1+0.07)^-($B21-'Global Assumptions'!$C$6)</f>
        <v>0</v>
      </c>
      <c r="E21" s="301">
        <f>IF($B21=$I$11,'B_Roadway Improvements_Costs'!$J$27,0)</f>
        <v>0</v>
      </c>
      <c r="F21" s="71">
        <f>E21*(1+0.07)^-($B21-'Global Assumptions'!$C$6)</f>
        <v>0</v>
      </c>
      <c r="K21" s="74"/>
    </row>
    <row r="22" spans="2:11" ht="15.75" customHeight="1" x14ac:dyDescent="0.25">
      <c r="B22" s="106">
        <f t="shared" si="1"/>
        <v>2034</v>
      </c>
      <c r="C22" s="306">
        <f t="shared" si="0"/>
        <v>0</v>
      </c>
      <c r="D22" s="71">
        <f>C22*(1+0.07)^-($B22-'Global Assumptions'!$C$6)</f>
        <v>0</v>
      </c>
      <c r="E22" s="301">
        <f>IF($B22=$I$11,'B_Roadway Improvements_Costs'!$J$27,0)</f>
        <v>0</v>
      </c>
      <c r="F22" s="71">
        <f>E22*(1+0.07)^-($B22-'Global Assumptions'!$C$6)</f>
        <v>0</v>
      </c>
      <c r="H22" s="101" t="s">
        <v>49</v>
      </c>
      <c r="I22" s="7"/>
      <c r="J22" s="124"/>
      <c r="K22" s="74"/>
    </row>
    <row r="23" spans="2:11" ht="15.75" customHeight="1" x14ac:dyDescent="0.25">
      <c r="B23" s="106">
        <f t="shared" si="1"/>
        <v>2035</v>
      </c>
      <c r="C23" s="306">
        <f t="shared" si="0"/>
        <v>0</v>
      </c>
      <c r="D23" s="71">
        <f>C23*(1+0.07)^-($B23-'Global Assumptions'!$C$6)</f>
        <v>0</v>
      </c>
      <c r="E23" s="301">
        <f>IF($B23=$I$11,'B_Roadway Improvements_Costs'!$J$27,0)</f>
        <v>0</v>
      </c>
      <c r="F23" s="71">
        <f>E23*(1+0.07)^-($B23-'Global Assumptions'!$C$6)</f>
        <v>0</v>
      </c>
      <c r="H23" s="397" t="s">
        <v>4</v>
      </c>
      <c r="I23" s="400" t="s">
        <v>21</v>
      </c>
      <c r="J23" s="400" t="s">
        <v>22</v>
      </c>
      <c r="K23" s="74"/>
    </row>
    <row r="24" spans="2:11" ht="15.75" customHeight="1" x14ac:dyDescent="0.25">
      <c r="B24" s="106">
        <f t="shared" si="1"/>
        <v>2036</v>
      </c>
      <c r="C24" s="306">
        <f t="shared" si="0"/>
        <v>0</v>
      </c>
      <c r="D24" s="71">
        <f>C24*(1+0.07)^-($B24-'Global Assumptions'!$C$6)</f>
        <v>0</v>
      </c>
      <c r="E24" s="301">
        <f>IF($B24=$I$11,'B_Roadway Improvements_Costs'!$J$27,0)</f>
        <v>0</v>
      </c>
      <c r="F24" s="71">
        <f>E24*(1+0.07)^-($B24-'Global Assumptions'!$C$6)</f>
        <v>0</v>
      </c>
      <c r="H24" s="398"/>
      <c r="I24" s="401"/>
      <c r="J24" s="401"/>
      <c r="K24" s="75"/>
    </row>
    <row r="25" spans="2:11" ht="15.75" customHeight="1" x14ac:dyDescent="0.25">
      <c r="B25" s="106">
        <f t="shared" si="1"/>
        <v>2037</v>
      </c>
      <c r="C25" s="306">
        <f t="shared" si="0"/>
        <v>0</v>
      </c>
      <c r="D25" s="71">
        <f>C25*(1+0.07)^-($B25-'Global Assumptions'!$C$6)</f>
        <v>0</v>
      </c>
      <c r="E25" s="301">
        <f>IF($B25=$I$11,'B_Roadway Improvements_Costs'!$J$27,0)</f>
        <v>0</v>
      </c>
      <c r="F25" s="71">
        <f>E25*(1+0.07)^-($B25-'Global Assumptions'!$C$6)</f>
        <v>0</v>
      </c>
      <c r="H25" s="399"/>
      <c r="I25" s="402"/>
      <c r="J25" s="402"/>
    </row>
    <row r="26" spans="2:11" ht="15.75" customHeight="1" x14ac:dyDescent="0.25">
      <c r="B26" s="106">
        <f t="shared" si="1"/>
        <v>2038</v>
      </c>
      <c r="C26" s="306">
        <f t="shared" si="0"/>
        <v>0</v>
      </c>
      <c r="D26" s="71">
        <f>C26*(1+0.07)^-($B26-'Global Assumptions'!$C$6)</f>
        <v>0</v>
      </c>
      <c r="E26" s="301">
        <f>IF($B26=$I$11,'B_Roadway Improvements_Costs'!$J$27,0)</f>
        <v>0</v>
      </c>
      <c r="F26" s="71">
        <f>E26*(1+0.07)^-($B26-'Global Assumptions'!$C$6)</f>
        <v>0</v>
      </c>
      <c r="H26" s="8" t="s">
        <v>99</v>
      </c>
      <c r="I26" s="78">
        <v>0.56600517615078727</v>
      </c>
      <c r="J26" s="79">
        <f>$I26*J18</f>
        <v>5999654.8671983453</v>
      </c>
    </row>
    <row r="27" spans="2:11" ht="15.75" customHeight="1" x14ac:dyDescent="0.25">
      <c r="B27" s="106">
        <f t="shared" si="1"/>
        <v>2039</v>
      </c>
      <c r="C27" s="306">
        <f t="shared" si="0"/>
        <v>0</v>
      </c>
      <c r="D27" s="71">
        <f>C27*(1+0.07)^-($B27-'Global Assumptions'!$C$6)</f>
        <v>0</v>
      </c>
      <c r="E27" s="301">
        <f>IF($B27=$I$11,'B_Roadway Improvements_Costs'!$J$27,0)</f>
        <v>0</v>
      </c>
      <c r="F27" s="71">
        <f>E27*(1+0.07)^-($B27-'Global Assumptions'!$C$6)</f>
        <v>0</v>
      </c>
      <c r="H27" s="388" t="s">
        <v>27</v>
      </c>
      <c r="I27" s="389"/>
      <c r="J27" s="27">
        <f>SUM(J26:J26)</f>
        <v>5999654.8671983453</v>
      </c>
      <c r="K27" s="22"/>
    </row>
    <row r="28" spans="2:11" ht="15.75" customHeight="1" x14ac:dyDescent="0.25">
      <c r="B28" s="106">
        <f t="shared" si="1"/>
        <v>2040</v>
      </c>
      <c r="C28" s="306">
        <f t="shared" si="0"/>
        <v>0</v>
      </c>
      <c r="D28" s="71">
        <f>C28*(1+0.07)^-($B28-'Global Assumptions'!$C$6)</f>
        <v>0</v>
      </c>
      <c r="E28" s="301">
        <f>IF($B28=$I$11,'B_Roadway Improvements_Costs'!$J$27,0)</f>
        <v>0</v>
      </c>
      <c r="F28" s="71">
        <f>E28*(1+0.07)^-($B28-'Global Assumptions'!$C$6)</f>
        <v>0</v>
      </c>
      <c r="K28" s="76"/>
    </row>
    <row r="29" spans="2:11" ht="15.75" customHeight="1" x14ac:dyDescent="0.25">
      <c r="B29" s="106">
        <f t="shared" si="1"/>
        <v>2041</v>
      </c>
      <c r="C29" s="306">
        <f t="shared" si="0"/>
        <v>0</v>
      </c>
      <c r="D29" s="71">
        <f>C29*(1+0.07)^-($B29-'Global Assumptions'!$C$6)</f>
        <v>0</v>
      </c>
      <c r="E29" s="301">
        <f>IF($B29=$I$11,'B_Roadway Improvements_Costs'!$J$27,0)</f>
        <v>0</v>
      </c>
      <c r="F29" s="71">
        <f>E29*(1+0.07)^-($B29-'Global Assumptions'!$C$6)</f>
        <v>0</v>
      </c>
      <c r="K29" s="76"/>
    </row>
    <row r="30" spans="2:11" ht="15.75" customHeight="1" x14ac:dyDescent="0.25">
      <c r="B30" s="106">
        <f t="shared" si="1"/>
        <v>2042</v>
      </c>
      <c r="C30" s="306">
        <f t="shared" si="0"/>
        <v>0</v>
      </c>
      <c r="D30" s="71">
        <f>C30*(1+0.07)^-($B30-'Global Assumptions'!$C$6)</f>
        <v>0</v>
      </c>
      <c r="E30" s="301">
        <f>IF($B30=$I$11,'B_Roadway Improvements_Costs'!$J$27,0)</f>
        <v>0</v>
      </c>
      <c r="F30" s="71">
        <f>E30*(1+0.07)^-($B30-'Global Assumptions'!$C$6)</f>
        <v>0</v>
      </c>
      <c r="K30" s="76"/>
    </row>
    <row r="31" spans="2:11" ht="15.75" customHeight="1" x14ac:dyDescent="0.25">
      <c r="B31" s="106">
        <f t="shared" si="1"/>
        <v>2043</v>
      </c>
      <c r="C31" s="306">
        <f t="shared" si="0"/>
        <v>0</v>
      </c>
      <c r="D31" s="71">
        <f>C31*(1+0.07)^-($B31-'Global Assumptions'!$C$6)</f>
        <v>0</v>
      </c>
      <c r="E31" s="301">
        <f>IF($B31=$I$11,'B_Roadway Improvements_Costs'!$J$27,0)</f>
        <v>5999654.8671983453</v>
      </c>
      <c r="F31" s="71">
        <f>E31*(1+0.07)^-($B31-'Global Assumptions'!$C$6)</f>
        <v>1182811.6779274985</v>
      </c>
      <c r="K31" s="77"/>
    </row>
    <row r="32" spans="2:11" ht="15.75" customHeight="1" x14ac:dyDescent="0.25">
      <c r="B32" s="106">
        <f t="shared" si="1"/>
        <v>2044</v>
      </c>
      <c r="C32" s="306">
        <f t="shared" si="0"/>
        <v>0</v>
      </c>
      <c r="D32" s="71">
        <f>C32*(1+0.07)^-($B32-'Global Assumptions'!$C$6)</f>
        <v>0</v>
      </c>
      <c r="E32" s="301">
        <f>IF($B32=$I$11,'B_Roadway Improvements_Costs'!$J$27,0)</f>
        <v>0</v>
      </c>
      <c r="F32" s="71">
        <f>E32*(1+0.07)^-($B32-'Global Assumptions'!$C$6)</f>
        <v>0</v>
      </c>
      <c r="K32" s="77"/>
    </row>
    <row r="33" spans="1:11" ht="15.75" customHeight="1" x14ac:dyDescent="0.25">
      <c r="B33" s="106">
        <f t="shared" si="1"/>
        <v>2045</v>
      </c>
      <c r="C33" s="306">
        <f t="shared" si="0"/>
        <v>0</v>
      </c>
      <c r="D33" s="71">
        <f>C33*(1+0.07)^-($B33-'Global Assumptions'!$C$6)</f>
        <v>0</v>
      </c>
      <c r="E33" s="301">
        <f>IF($B33=$I$11,'B_Roadway Improvements_Costs'!$J$27,0)</f>
        <v>0</v>
      </c>
      <c r="F33" s="71">
        <f>E33*(1+0.07)^-($B33-'Global Assumptions'!$C$6)</f>
        <v>0</v>
      </c>
      <c r="K33" s="77"/>
    </row>
    <row r="34" spans="1:11" ht="15.75" customHeight="1" x14ac:dyDescent="0.25">
      <c r="B34" s="106">
        <f t="shared" si="1"/>
        <v>2046</v>
      </c>
      <c r="C34" s="306">
        <f t="shared" si="0"/>
        <v>0</v>
      </c>
      <c r="D34" s="71">
        <f>C34*(1+0.07)^-($B34-'Global Assumptions'!$C$6)</f>
        <v>0</v>
      </c>
      <c r="E34" s="301">
        <f>IF($B34=$I$11,'B_Roadway Improvements_Costs'!$J$27,0)</f>
        <v>0</v>
      </c>
      <c r="F34" s="71">
        <f>E34*(1+0.07)^-($B34-'Global Assumptions'!$C$6)</f>
        <v>0</v>
      </c>
      <c r="K34" s="77"/>
    </row>
    <row r="35" spans="1:11" ht="15.75" customHeight="1" x14ac:dyDescent="0.25">
      <c r="B35" s="106">
        <f t="shared" si="1"/>
        <v>2047</v>
      </c>
      <c r="C35" s="306">
        <f t="shared" si="0"/>
        <v>0</v>
      </c>
      <c r="D35" s="71">
        <f>C35*(1+0.07)^-($B35-'Global Assumptions'!$C$6)</f>
        <v>0</v>
      </c>
      <c r="E35" s="301">
        <f>IF($B35=$I$11,'B_Roadway Improvements_Costs'!$J$27,0)</f>
        <v>0</v>
      </c>
      <c r="F35" s="71">
        <f>E35*(1+0.07)^-($B35-'Global Assumptions'!$C$6)</f>
        <v>0</v>
      </c>
      <c r="K35" s="77"/>
    </row>
    <row r="36" spans="1:11" ht="15.75" customHeight="1" x14ac:dyDescent="0.25">
      <c r="B36" s="106">
        <f t="shared" si="1"/>
        <v>2048</v>
      </c>
      <c r="C36" s="306">
        <f t="shared" si="0"/>
        <v>0</v>
      </c>
      <c r="D36" s="71">
        <f>C36*(1+0.07)^-($B36-'Global Assumptions'!$C$6)</f>
        <v>0</v>
      </c>
      <c r="E36" s="301">
        <f>IF($B36=$I$11,'B_Roadway Improvements_Costs'!$J$27,0)</f>
        <v>0</v>
      </c>
      <c r="F36" s="71">
        <f>E36*(1+0.07)^-($B36-'Global Assumptions'!$C$6)</f>
        <v>0</v>
      </c>
      <c r="K36" s="77"/>
    </row>
    <row r="37" spans="1:11" ht="15.75" customHeight="1" x14ac:dyDescent="0.25">
      <c r="B37" s="106">
        <f t="shared" si="1"/>
        <v>2049</v>
      </c>
      <c r="C37" s="306">
        <f t="shared" si="0"/>
        <v>0</v>
      </c>
      <c r="D37" s="71">
        <f>C37*(1+0.07)^-($B37-'Global Assumptions'!$C$6)</f>
        <v>0</v>
      </c>
      <c r="E37" s="301">
        <f>IF($B37=$I$11,'B_Roadway Improvements_Costs'!$J$27,0)</f>
        <v>0</v>
      </c>
      <c r="F37" s="71">
        <f>E37*(1+0.07)^-($B37-'Global Assumptions'!$C$6)</f>
        <v>0</v>
      </c>
      <c r="K37" s="75"/>
    </row>
    <row r="38" spans="1:11" ht="15.75" customHeight="1" x14ac:dyDescent="0.25">
      <c r="B38" s="106">
        <f t="shared" si="1"/>
        <v>2050</v>
      </c>
      <c r="C38" s="306">
        <f t="shared" si="0"/>
        <v>0</v>
      </c>
      <c r="D38" s="71">
        <f>C38*(1+0.07)^-($B38-'Global Assumptions'!$C$6)</f>
        <v>0</v>
      </c>
      <c r="E38" s="301">
        <f>IF($B38=$I$11,'B_Roadway Improvements_Costs'!$J$27,0)</f>
        <v>0</v>
      </c>
      <c r="F38" s="71">
        <f>E38*(1+0.07)^-($B38-'Global Assumptions'!$C$6)</f>
        <v>0</v>
      </c>
    </row>
    <row r="39" spans="1:11" ht="15.75" customHeight="1" x14ac:dyDescent="0.25">
      <c r="B39" s="106">
        <f t="shared" si="1"/>
        <v>2051</v>
      </c>
      <c r="C39" s="306">
        <f t="shared" si="0"/>
        <v>0</v>
      </c>
      <c r="D39" s="71">
        <f>C39*(1+0.07)^-($B39-'Global Assumptions'!$C$6)</f>
        <v>0</v>
      </c>
      <c r="E39" s="301">
        <f>IF($B39=$I$11,'B_Roadway Improvements_Costs'!$J$27,0)</f>
        <v>0</v>
      </c>
      <c r="F39" s="71">
        <f>E39*(1+0.07)^-($B39-'Global Assumptions'!$C$6)</f>
        <v>0</v>
      </c>
    </row>
    <row r="40" spans="1:11" ht="15.75" customHeight="1" x14ac:dyDescent="0.25">
      <c r="B40" s="106">
        <f t="shared" si="1"/>
        <v>2052</v>
      </c>
      <c r="C40" s="306">
        <f t="shared" si="0"/>
        <v>0</v>
      </c>
      <c r="D40" s="71">
        <f>C40*(1+0.07)^-($B40-'Global Assumptions'!$C$6)</f>
        <v>0</v>
      </c>
      <c r="E40" s="301">
        <f>IF($B40=$I$11,'B_Roadway Improvements_Costs'!$J$27,0)</f>
        <v>0</v>
      </c>
      <c r="F40" s="71">
        <f>E40*(1+0.07)^-($B40-'Global Assumptions'!$C$6)</f>
        <v>0</v>
      </c>
    </row>
    <row r="41" spans="1:11" ht="15.75" customHeight="1" x14ac:dyDescent="0.25">
      <c r="B41" s="106">
        <f t="shared" si="1"/>
        <v>2053</v>
      </c>
      <c r="C41" s="306">
        <f t="shared" si="0"/>
        <v>0</v>
      </c>
      <c r="D41" s="71">
        <f>C41*(1+0.07)^-($B41-'Global Assumptions'!$C$6)</f>
        <v>0</v>
      </c>
      <c r="E41" s="301">
        <f>IF($B41=$I$11,'B_Roadway Improvements_Costs'!$J$27,0)</f>
        <v>0</v>
      </c>
      <c r="F41" s="71">
        <f>E41*(1+0.07)^-($B41-'Global Assumptions'!$C$6)</f>
        <v>0</v>
      </c>
    </row>
    <row r="42" spans="1:11" ht="15.75" customHeight="1" x14ac:dyDescent="0.25">
      <c r="B42" s="106">
        <f t="shared" si="1"/>
        <v>2054</v>
      </c>
      <c r="C42" s="306">
        <f t="shared" si="0"/>
        <v>0</v>
      </c>
      <c r="D42" s="71">
        <f>C42*(1+0.07)^-($B42-'Global Assumptions'!$C$6)</f>
        <v>0</v>
      </c>
      <c r="E42" s="301">
        <f>IF($B42=$I$11,'B_Roadway Improvements_Costs'!$J$27,0)</f>
        <v>0</v>
      </c>
      <c r="F42" s="71">
        <f>E42*(1+0.07)^-($B42-'Global Assumptions'!$C$6)</f>
        <v>0</v>
      </c>
    </row>
    <row r="43" spans="1:11" ht="15.75" customHeight="1" x14ac:dyDescent="0.25">
      <c r="A43" s="14"/>
      <c r="B43" s="106">
        <f t="shared" si="1"/>
        <v>2055</v>
      </c>
      <c r="C43" s="306">
        <f t="shared" si="0"/>
        <v>0</v>
      </c>
      <c r="D43" s="71">
        <f>C43*(1+0.07)^-($B43-'Global Assumptions'!$C$6)</f>
        <v>0</v>
      </c>
      <c r="E43" s="301">
        <f>IF($B43=$I$11,'B_Roadway Improvements_Costs'!$J$27,0)</f>
        <v>0</v>
      </c>
      <c r="F43" s="71">
        <f>E43*(1+0.07)^-($B43-'Global Assumptions'!$C$6)</f>
        <v>0</v>
      </c>
    </row>
    <row r="44" spans="1:11" ht="15.75" customHeight="1" thickBot="1" x14ac:dyDescent="0.3">
      <c r="B44" s="107">
        <f t="shared" si="1"/>
        <v>2056</v>
      </c>
      <c r="C44" s="307">
        <f t="shared" si="0"/>
        <v>0</v>
      </c>
      <c r="D44" s="72">
        <f>C44*(1+0.07)^-($B44-'Global Assumptions'!$C$6)</f>
        <v>0</v>
      </c>
      <c r="E44" s="311">
        <f>IF($B44=$I$11,'B_Roadway Improvements_Costs'!$J$27,0)</f>
        <v>0</v>
      </c>
      <c r="F44" s="72">
        <f>E44*(1+0.07)^-($B44-'Global Assumptions'!$C$6)</f>
        <v>0</v>
      </c>
      <c r="I44" s="101" t="s">
        <v>62</v>
      </c>
    </row>
    <row r="45" spans="1:11" ht="15.75" customHeight="1" thickBot="1" x14ac:dyDescent="0.3">
      <c r="C45" s="126" t="s">
        <v>63</v>
      </c>
      <c r="D45" s="300">
        <f>SUM(D7:D44)</f>
        <v>8665965.7541476134</v>
      </c>
      <c r="E45" s="126" t="s">
        <v>64</v>
      </c>
      <c r="F45" s="300">
        <f>SUM(F7:F44)</f>
        <v>1182811.6779274985</v>
      </c>
      <c r="G45" s="14"/>
      <c r="I45" s="11"/>
      <c r="J45" s="97" t="s">
        <v>39</v>
      </c>
    </row>
    <row r="46" spans="1:11" ht="15" customHeight="1" x14ac:dyDescent="0.25">
      <c r="I46" s="12" t="s">
        <v>18</v>
      </c>
      <c r="J46" s="98">
        <f>'B_Roadway Improvements_Benefits'!K37+F45</f>
        <v>18160214.34019326</v>
      </c>
    </row>
    <row r="47" spans="1:11" ht="15.75" thickBot="1" x14ac:dyDescent="0.3">
      <c r="I47" s="13" t="s">
        <v>19</v>
      </c>
      <c r="J47" s="99">
        <f>D45</f>
        <v>8665965.7541476134</v>
      </c>
    </row>
    <row r="48" spans="1:11" ht="15.75" thickTop="1" x14ac:dyDescent="0.25">
      <c r="B48" s="15" t="s">
        <v>3</v>
      </c>
      <c r="C48" s="14"/>
      <c r="D48" s="14"/>
      <c r="E48" s="14"/>
      <c r="F48" s="14"/>
      <c r="I48" s="87" t="s">
        <v>20</v>
      </c>
      <c r="J48" s="88">
        <f>+J46/J47</f>
        <v>2.0955788258800365</v>
      </c>
    </row>
    <row r="49" spans="1:10" ht="15.75" thickBot="1" x14ac:dyDescent="0.3">
      <c r="A49" s="96" t="s">
        <v>24</v>
      </c>
      <c r="B49" s="367" t="s">
        <v>326</v>
      </c>
      <c r="C49" s="367"/>
      <c r="D49" s="367"/>
      <c r="E49" s="367"/>
      <c r="F49" s="367"/>
      <c r="I49" s="89" t="s">
        <v>50</v>
      </c>
      <c r="J49" s="90">
        <f>J46-J47</f>
        <v>9494248.586045647</v>
      </c>
    </row>
    <row r="50" spans="1:10" x14ac:dyDescent="0.25">
      <c r="B50" s="367"/>
      <c r="C50" s="367"/>
      <c r="D50" s="367"/>
      <c r="E50" s="367"/>
      <c r="F50" s="367"/>
    </row>
    <row r="51" spans="1:10" x14ac:dyDescent="0.25">
      <c r="B51" s="367"/>
      <c r="C51" s="367"/>
      <c r="D51" s="367"/>
      <c r="E51" s="367"/>
      <c r="F51" s="367"/>
    </row>
    <row r="52" spans="1:10" x14ac:dyDescent="0.25">
      <c r="A52" s="96"/>
      <c r="B52" s="112"/>
      <c r="C52" s="112"/>
      <c r="D52" s="112"/>
      <c r="E52" s="112"/>
      <c r="F52" s="112"/>
    </row>
    <row r="53" spans="1:10" ht="15" customHeight="1" x14ac:dyDescent="0.25">
      <c r="A53" s="96" t="s">
        <v>23</v>
      </c>
      <c r="B53" s="367" t="s">
        <v>52</v>
      </c>
      <c r="C53" s="367"/>
      <c r="D53" s="367"/>
      <c r="E53" s="367"/>
      <c r="F53" s="367"/>
    </row>
    <row r="54" spans="1:10" x14ac:dyDescent="0.25">
      <c r="A54" s="50"/>
      <c r="B54" s="367"/>
      <c r="C54" s="367"/>
      <c r="D54" s="367"/>
      <c r="E54" s="367"/>
      <c r="F54" s="367"/>
    </row>
    <row r="55" spans="1:10" x14ac:dyDescent="0.25">
      <c r="A55" s="50"/>
      <c r="B55" s="367"/>
      <c r="C55" s="367"/>
      <c r="D55" s="367"/>
      <c r="E55" s="367"/>
      <c r="F55" s="367"/>
    </row>
    <row r="56" spans="1:10" x14ac:dyDescent="0.25">
      <c r="A56" s="96"/>
      <c r="B56" s="367"/>
      <c r="C56" s="367"/>
      <c r="D56" s="367"/>
      <c r="E56" s="367"/>
      <c r="F56" s="367"/>
    </row>
    <row r="57" spans="1:10" x14ac:dyDescent="0.25">
      <c r="B57" s="367"/>
      <c r="C57" s="367"/>
      <c r="D57" s="367"/>
      <c r="E57" s="367"/>
      <c r="F57" s="367"/>
    </row>
    <row r="58" spans="1:10" x14ac:dyDescent="0.25">
      <c r="B58" s="367"/>
      <c r="C58" s="367"/>
      <c r="D58" s="367"/>
      <c r="E58" s="367"/>
      <c r="F58" s="367"/>
    </row>
    <row r="59" spans="1:10" ht="15" customHeight="1" x14ac:dyDescent="0.25">
      <c r="A59" s="6"/>
      <c r="B59" s="367"/>
      <c r="C59" s="367"/>
      <c r="D59" s="367"/>
      <c r="E59" s="367"/>
      <c r="F59" s="367"/>
    </row>
    <row r="60" spans="1:10" x14ac:dyDescent="0.25">
      <c r="A60" s="50"/>
      <c r="B60" s="367"/>
      <c r="C60" s="367"/>
      <c r="D60" s="367"/>
      <c r="E60" s="367"/>
      <c r="F60" s="367"/>
    </row>
    <row r="61" spans="1:10" x14ac:dyDescent="0.25">
      <c r="B61" s="367"/>
      <c r="C61" s="367"/>
      <c r="D61" s="367"/>
      <c r="E61" s="367"/>
      <c r="F61" s="367"/>
    </row>
  </sheetData>
  <mergeCells count="15">
    <mergeCell ref="H27:I27"/>
    <mergeCell ref="B49:F51"/>
    <mergeCell ref="B53:F61"/>
    <mergeCell ref="I15:I17"/>
    <mergeCell ref="J15:J17"/>
    <mergeCell ref="H19:I19"/>
    <mergeCell ref="H23:H25"/>
    <mergeCell ref="I23:I25"/>
    <mergeCell ref="J23:J25"/>
    <mergeCell ref="H15:H17"/>
    <mergeCell ref="B5:B6"/>
    <mergeCell ref="C5:C6"/>
    <mergeCell ref="D5:D6"/>
    <mergeCell ref="E5:E6"/>
    <mergeCell ref="F5:F6"/>
  </mergeCells>
  <pageMargins left="0.25" right="0.25" top="0.75" bottom="0.75" header="0.3" footer="0.3"/>
  <pageSetup paperSize="119" scale="5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D20BC-08D1-40F6-89BB-A867EA500056}">
  <sheetPr>
    <tabColor rgb="FF00B050"/>
    <pageSetUpPr fitToPage="1"/>
  </sheetPr>
  <dimension ref="A1:O49"/>
  <sheetViews>
    <sheetView view="pageBreakPreview" zoomScale="85" zoomScaleNormal="85" zoomScaleSheetLayoutView="85" workbookViewId="0">
      <selection activeCell="B44" sqref="B44:F47"/>
    </sheetView>
  </sheetViews>
  <sheetFormatPr defaultColWidth="9.140625" defaultRowHeight="15" x14ac:dyDescent="0.25"/>
  <cols>
    <col min="1" max="1" width="3.7109375" style="211" customWidth="1"/>
    <col min="2" max="2" width="15.7109375" style="211" customWidth="1"/>
    <col min="3" max="3" width="18" style="211" bestFit="1" customWidth="1"/>
    <col min="4" max="4" width="18" style="211" customWidth="1"/>
    <col min="5" max="6" width="15.7109375" style="211" customWidth="1"/>
    <col min="7" max="7" width="5.7109375" style="211" customWidth="1"/>
    <col min="8" max="8" width="62.7109375" style="211" bestFit="1" customWidth="1"/>
    <col min="9" max="10" width="24.42578125" style="211" customWidth="1"/>
    <col min="11" max="11" width="11" style="211" customWidth="1"/>
    <col min="12" max="16384" width="9.140625" style="211"/>
  </cols>
  <sheetData>
    <row r="1" spans="1:15" x14ac:dyDescent="0.25">
      <c r="A1" s="14"/>
      <c r="B1" s="14"/>
      <c r="C1" s="14"/>
      <c r="D1" s="14"/>
      <c r="E1" s="14"/>
      <c r="F1" s="14"/>
    </row>
    <row r="2" spans="1:15" x14ac:dyDescent="0.25">
      <c r="B2" s="151"/>
    </row>
    <row r="3" spans="1:15" x14ac:dyDescent="0.25">
      <c r="B3" s="151"/>
    </row>
    <row r="4" spans="1:15" ht="15.75" thickBot="1" x14ac:dyDescent="0.3">
      <c r="C4" s="158"/>
      <c r="D4" s="158"/>
      <c r="E4" s="113"/>
      <c r="F4" s="113"/>
      <c r="I4" s="56"/>
    </row>
    <row r="5" spans="1:15" ht="35.1" customHeight="1" x14ac:dyDescent="0.25">
      <c r="B5" s="372" t="s">
        <v>0</v>
      </c>
      <c r="C5" s="376" t="s">
        <v>346</v>
      </c>
      <c r="D5" s="374" t="s">
        <v>340</v>
      </c>
      <c r="E5" s="376" t="s">
        <v>2</v>
      </c>
      <c r="F5" s="378" t="s">
        <v>1</v>
      </c>
      <c r="H5" s="56"/>
      <c r="J5" s="20"/>
    </row>
    <row r="6" spans="1:15" ht="43.5" customHeight="1" thickBot="1" x14ac:dyDescent="0.3">
      <c r="B6" s="373"/>
      <c r="C6" s="377"/>
      <c r="D6" s="375"/>
      <c r="E6" s="377"/>
      <c r="F6" s="379"/>
      <c r="J6" s="41"/>
    </row>
    <row r="7" spans="1:15" ht="18" customHeight="1" x14ac:dyDescent="0.25">
      <c r="B7" s="1">
        <f>'C_La Crosse Airport_Costs'!I10</f>
        <v>2023</v>
      </c>
      <c r="C7" s="114">
        <f t="shared" ref="C7:C26" si="0">TREND($I$22:$I$22,$H$22:$H$22,B7)</f>
        <v>27801.393749999999</v>
      </c>
      <c r="D7" s="163">
        <f t="shared" ref="D7:D26" si="1">TREND($I$27:$I$27,$H$27:$H$27,B7)</f>
        <v>3246.875</v>
      </c>
      <c r="E7" s="80">
        <f t="shared" ref="E7:E26" si="2">SUM(C7:D7)</f>
        <v>31048.268749999999</v>
      </c>
      <c r="F7" s="83">
        <f>E7*(1+0.05)^-($B7-'Global Assumptions'!$C$6)</f>
        <v>25543.487538628451</v>
      </c>
      <c r="H7" s="338" t="s">
        <v>339</v>
      </c>
      <c r="J7" s="207" t="s">
        <v>293</v>
      </c>
    </row>
    <row r="8" spans="1:15" x14ac:dyDescent="0.25">
      <c r="B8" s="2">
        <f>B7+1</f>
        <v>2024</v>
      </c>
      <c r="C8" s="117">
        <f t="shared" si="0"/>
        <v>27801.393749999999</v>
      </c>
      <c r="D8" s="118">
        <f t="shared" si="1"/>
        <v>3246.875</v>
      </c>
      <c r="E8" s="81">
        <f t="shared" si="2"/>
        <v>31048.268749999999</v>
      </c>
      <c r="F8" s="84">
        <f>E8*(1+0.07)^-($B8-'Global Assumptions'!$C$6)</f>
        <v>22136.986515644672</v>
      </c>
      <c r="H8" s="160" t="s">
        <v>295</v>
      </c>
      <c r="I8" s="345">
        <v>100000</v>
      </c>
      <c r="J8" s="155"/>
    </row>
    <row r="9" spans="1:15" x14ac:dyDescent="0.25">
      <c r="B9" s="2">
        <f t="shared" ref="B9:B36" si="3">B8+1</f>
        <v>2025</v>
      </c>
      <c r="C9" s="117">
        <f t="shared" si="0"/>
        <v>27801.393749999999</v>
      </c>
      <c r="D9" s="118">
        <f t="shared" si="1"/>
        <v>3246.875</v>
      </c>
      <c r="E9" s="81">
        <f t="shared" si="2"/>
        <v>31048.268749999999</v>
      </c>
      <c r="F9" s="84">
        <f>E9*(1+0.07)^-($B9-'Global Assumptions'!$C$6)</f>
        <v>20688.772444527731</v>
      </c>
      <c r="H9" s="160" t="s">
        <v>341</v>
      </c>
      <c r="I9" s="341">
        <v>0.15</v>
      </c>
      <c r="J9" s="155"/>
    </row>
    <row r="10" spans="1:15" x14ac:dyDescent="0.25">
      <c r="B10" s="2">
        <f t="shared" si="3"/>
        <v>2026</v>
      </c>
      <c r="C10" s="117">
        <f t="shared" si="0"/>
        <v>27801.393749999999</v>
      </c>
      <c r="D10" s="118">
        <f t="shared" si="1"/>
        <v>3246.875</v>
      </c>
      <c r="E10" s="81">
        <f t="shared" si="2"/>
        <v>31048.268749999999</v>
      </c>
      <c r="F10" s="84">
        <f>E10*(1+0.07)^-($B10-'Global Assumptions'!$C$6)</f>
        <v>19335.301350025915</v>
      </c>
      <c r="H10" s="160" t="s">
        <v>296</v>
      </c>
      <c r="I10" s="318">
        <v>4850</v>
      </c>
      <c r="J10" s="155"/>
    </row>
    <row r="11" spans="1:15" x14ac:dyDescent="0.25">
      <c r="B11" s="2">
        <f t="shared" si="3"/>
        <v>2027</v>
      </c>
      <c r="C11" s="117">
        <f t="shared" si="0"/>
        <v>27801.393749999999</v>
      </c>
      <c r="D11" s="118">
        <f t="shared" si="1"/>
        <v>3246.875</v>
      </c>
      <c r="E11" s="81">
        <f t="shared" si="2"/>
        <v>31048.268749999999</v>
      </c>
      <c r="F11" s="84">
        <f>E11*(1+0.07)^-($B11-'Global Assumptions'!$C$6)</f>
        <v>18070.375093482166</v>
      </c>
      <c r="H11" s="160" t="s">
        <v>294</v>
      </c>
      <c r="I11" s="342">
        <f>AVERAGE(5.34,5.05)</f>
        <v>5.1950000000000003</v>
      </c>
      <c r="J11" s="346"/>
      <c r="K11" s="14"/>
      <c r="L11" s="14"/>
      <c r="M11" s="14"/>
      <c r="N11" s="14"/>
      <c r="O11" s="14"/>
    </row>
    <row r="12" spans="1:15" x14ac:dyDescent="0.25">
      <c r="B12" s="2">
        <f t="shared" si="3"/>
        <v>2028</v>
      </c>
      <c r="C12" s="117">
        <f t="shared" si="0"/>
        <v>27801.393749999999</v>
      </c>
      <c r="D12" s="118">
        <f t="shared" si="1"/>
        <v>3246.875</v>
      </c>
      <c r="E12" s="81">
        <f t="shared" si="2"/>
        <v>31048.268749999999</v>
      </c>
      <c r="F12" s="84">
        <f>E12*(1+0.07)^-($B12-'Global Assumptions'!$C$6)</f>
        <v>16888.201021945948</v>
      </c>
      <c r="H12" s="160" t="s">
        <v>320</v>
      </c>
      <c r="I12" s="318">
        <v>625</v>
      </c>
      <c r="J12" s="155"/>
    </row>
    <row r="13" spans="1:15" ht="17.25" x14ac:dyDescent="0.25">
      <c r="B13" s="2">
        <f t="shared" si="3"/>
        <v>2029</v>
      </c>
      <c r="C13" s="117">
        <f t="shared" si="0"/>
        <v>27801.393749999999</v>
      </c>
      <c r="D13" s="118">
        <f t="shared" si="1"/>
        <v>3246.875</v>
      </c>
      <c r="E13" s="81">
        <f t="shared" si="2"/>
        <v>31048.268749999999</v>
      </c>
      <c r="F13" s="84">
        <f>E13*(1+0.07)^-($B13-'Global Assumptions'!$C$6)</f>
        <v>15783.365441070979</v>
      </c>
      <c r="H13" s="160" t="s">
        <v>322</v>
      </c>
      <c r="I13" s="343">
        <v>43.7</v>
      </c>
      <c r="J13" s="159" t="s">
        <v>240</v>
      </c>
    </row>
    <row r="14" spans="1:15" ht="15" customHeight="1" x14ac:dyDescent="0.25">
      <c r="B14" s="2">
        <f t="shared" si="3"/>
        <v>2030</v>
      </c>
      <c r="C14" s="117">
        <f t="shared" si="0"/>
        <v>27801.393749999999</v>
      </c>
      <c r="D14" s="118">
        <f t="shared" si="1"/>
        <v>3246.875</v>
      </c>
      <c r="E14" s="81">
        <f t="shared" si="2"/>
        <v>31048.268749999999</v>
      </c>
      <c r="F14" s="84">
        <f>E14*(1+0.07)^-($B14-'Global Assumptions'!$C$6)</f>
        <v>14750.80882343082</v>
      </c>
      <c r="H14" s="160" t="s">
        <v>342</v>
      </c>
      <c r="I14" s="318">
        <v>2.5</v>
      </c>
      <c r="J14" s="155"/>
    </row>
    <row r="15" spans="1:15" x14ac:dyDescent="0.25">
      <c r="B15" s="2">
        <f t="shared" si="3"/>
        <v>2031</v>
      </c>
      <c r="C15" s="117">
        <f t="shared" si="0"/>
        <v>27801.393749999999</v>
      </c>
      <c r="D15" s="118">
        <f t="shared" si="1"/>
        <v>3246.875</v>
      </c>
      <c r="E15" s="81">
        <f t="shared" si="2"/>
        <v>31048.268749999999</v>
      </c>
      <c r="F15" s="84">
        <f>E15*(1+0.07)^-($B15-'Global Assumptions'!$C$6)</f>
        <v>13785.802638720394</v>
      </c>
      <c r="H15" s="160" t="s">
        <v>290</v>
      </c>
      <c r="I15" s="318">
        <v>1.0179</v>
      </c>
      <c r="J15" s="211" t="s">
        <v>291</v>
      </c>
      <c r="K15" s="42"/>
      <c r="L15" s="42"/>
      <c r="M15" s="42"/>
    </row>
    <row r="16" spans="1:15" x14ac:dyDescent="0.25">
      <c r="B16" s="2">
        <f t="shared" si="3"/>
        <v>2032</v>
      </c>
      <c r="C16" s="117">
        <f t="shared" si="0"/>
        <v>27801.393749999999</v>
      </c>
      <c r="D16" s="118">
        <f t="shared" si="1"/>
        <v>3246.875</v>
      </c>
      <c r="E16" s="81">
        <f t="shared" si="2"/>
        <v>31048.268749999999</v>
      </c>
      <c r="F16" s="84">
        <f>E16*(1+0.07)^-($B16-'Global Assumptions'!$C$6)</f>
        <v>12883.927699738684</v>
      </c>
      <c r="H16" s="160" t="s">
        <v>307</v>
      </c>
      <c r="I16" s="344">
        <v>9.57</v>
      </c>
      <c r="J16" s="159" t="s">
        <v>305</v>
      </c>
    </row>
    <row r="17" spans="2:10" x14ac:dyDescent="0.25">
      <c r="B17" s="2">
        <f t="shared" si="3"/>
        <v>2033</v>
      </c>
      <c r="C17" s="117">
        <f t="shared" si="0"/>
        <v>27801.393749999999</v>
      </c>
      <c r="D17" s="118">
        <f t="shared" si="1"/>
        <v>3246.875</v>
      </c>
      <c r="E17" s="81">
        <f t="shared" si="2"/>
        <v>31048.268749999999</v>
      </c>
      <c r="F17" s="84">
        <f>E17*(1+0.07)^-($B17-'Global Assumptions'!$C$6)</f>
        <v>12041.053924989426</v>
      </c>
      <c r="H17" s="295"/>
      <c r="J17" s="295"/>
    </row>
    <row r="18" spans="2:10" x14ac:dyDescent="0.25">
      <c r="B18" s="2">
        <f t="shared" si="3"/>
        <v>2034</v>
      </c>
      <c r="C18" s="117">
        <f t="shared" si="0"/>
        <v>27801.393749999999</v>
      </c>
      <c r="D18" s="118">
        <f t="shared" si="1"/>
        <v>3246.875</v>
      </c>
      <c r="E18" s="81">
        <f t="shared" si="2"/>
        <v>31048.268749999999</v>
      </c>
      <c r="F18" s="84">
        <f>E18*(1+0.07)^-($B18-'Global Assumptions'!$C$6)</f>
        <v>11253.321425223761</v>
      </c>
      <c r="H18" s="298"/>
      <c r="I18" s="298"/>
    </row>
    <row r="19" spans="2:10" x14ac:dyDescent="0.25">
      <c r="B19" s="2">
        <f t="shared" si="3"/>
        <v>2035</v>
      </c>
      <c r="C19" s="117">
        <f t="shared" si="0"/>
        <v>27801.393749999999</v>
      </c>
      <c r="D19" s="118">
        <f t="shared" si="1"/>
        <v>3246.875</v>
      </c>
      <c r="E19" s="81">
        <f t="shared" si="2"/>
        <v>31048.268749999999</v>
      </c>
      <c r="F19" s="84">
        <f>E19*(1+0.07)^-($B19-'Global Assumptions'!$C$6)</f>
        <v>10517.122827311929</v>
      </c>
      <c r="H19" s="298"/>
      <c r="I19" s="298"/>
    </row>
    <row r="20" spans="2:10" x14ac:dyDescent="0.25">
      <c r="B20" s="2">
        <f t="shared" si="3"/>
        <v>2036</v>
      </c>
      <c r="C20" s="117">
        <f t="shared" si="0"/>
        <v>27801.393749999999</v>
      </c>
      <c r="D20" s="118">
        <f t="shared" si="1"/>
        <v>3246.875</v>
      </c>
      <c r="E20" s="81">
        <f t="shared" si="2"/>
        <v>31048.268749999999</v>
      </c>
      <c r="F20" s="84">
        <f>E20*(1+0.07)^-($B20-'Global Assumptions'!$C$6)</f>
        <v>9829.0867544971297</v>
      </c>
      <c r="H20" s="294" t="s">
        <v>343</v>
      </c>
      <c r="I20" s="294"/>
    </row>
    <row r="21" spans="2:10" x14ac:dyDescent="0.25">
      <c r="B21" s="2">
        <f t="shared" si="3"/>
        <v>2037</v>
      </c>
      <c r="C21" s="117">
        <f t="shared" si="0"/>
        <v>27801.393749999999</v>
      </c>
      <c r="D21" s="118">
        <f t="shared" si="1"/>
        <v>3246.875</v>
      </c>
      <c r="E21" s="81">
        <f t="shared" si="2"/>
        <v>31048.268749999999</v>
      </c>
      <c r="F21" s="84">
        <f>E21*(1+0.07)^-($B21-'Global Assumptions'!$C$6)</f>
        <v>9186.0623873804943</v>
      </c>
      <c r="H21" s="228" t="s">
        <v>46</v>
      </c>
      <c r="I21" s="228" t="s">
        <v>194</v>
      </c>
    </row>
    <row r="22" spans="2:10" x14ac:dyDescent="0.25">
      <c r="B22" s="2">
        <f t="shared" si="3"/>
        <v>2038</v>
      </c>
      <c r="C22" s="117">
        <f t="shared" si="0"/>
        <v>27801.393749999999</v>
      </c>
      <c r="D22" s="118">
        <f t="shared" si="1"/>
        <v>3246.875</v>
      </c>
      <c r="E22" s="81">
        <f t="shared" si="2"/>
        <v>31048.268749999999</v>
      </c>
      <c r="F22" s="84">
        <f>E22*(1+0.07)^-($B22-'Global Assumptions'!$C$6)</f>
        <v>8585.1050349350407</v>
      </c>
      <c r="H22" s="317">
        <v>2021</v>
      </c>
      <c r="I22" s="330">
        <f>$I$8*$I$9*$I$13*($I$14/60)*$I$15</f>
        <v>27801.393749999999</v>
      </c>
    </row>
    <row r="23" spans="2:10" x14ac:dyDescent="0.25">
      <c r="B23" s="2">
        <f t="shared" si="3"/>
        <v>2039</v>
      </c>
      <c r="C23" s="117">
        <f t="shared" si="0"/>
        <v>27801.393749999999</v>
      </c>
      <c r="D23" s="118">
        <f t="shared" si="1"/>
        <v>3246.875</v>
      </c>
      <c r="E23" s="81">
        <f t="shared" si="2"/>
        <v>31048.268749999999</v>
      </c>
      <c r="F23" s="84">
        <f>E23*(1+0.07)^-($B23-'Global Assumptions'!$C$6)</f>
        <v>8023.4626494720014</v>
      </c>
      <c r="H23" s="295"/>
      <c r="I23" s="295"/>
    </row>
    <row r="24" spans="2:10" x14ac:dyDescent="0.25">
      <c r="B24" s="2">
        <f t="shared" si="3"/>
        <v>2040</v>
      </c>
      <c r="C24" s="117">
        <f t="shared" si="0"/>
        <v>27801.393749999999</v>
      </c>
      <c r="D24" s="118">
        <f t="shared" si="1"/>
        <v>3246.875</v>
      </c>
      <c r="E24" s="81">
        <f t="shared" si="2"/>
        <v>31048.268749999999</v>
      </c>
      <c r="F24" s="84">
        <f>E24*(1+0.07)^-($B24-'Global Assumptions'!$C$6)</f>
        <v>7498.5632238056087</v>
      </c>
      <c r="H24" s="295"/>
      <c r="I24" s="103"/>
    </row>
    <row r="25" spans="2:10" x14ac:dyDescent="0.25">
      <c r="B25" s="2">
        <f t="shared" si="3"/>
        <v>2041</v>
      </c>
      <c r="C25" s="117">
        <f t="shared" si="0"/>
        <v>27801.393749999999</v>
      </c>
      <c r="D25" s="118">
        <f t="shared" si="1"/>
        <v>3246.875</v>
      </c>
      <c r="E25" s="81">
        <f t="shared" si="2"/>
        <v>31048.268749999999</v>
      </c>
      <c r="F25" s="84">
        <f>E25*(1+0.07)^-($B25-'Global Assumptions'!$C$6)</f>
        <v>7008.0030129024381</v>
      </c>
      <c r="H25" s="294" t="s">
        <v>344</v>
      </c>
      <c r="I25" s="226"/>
      <c r="J25" s="295"/>
    </row>
    <row r="26" spans="2:10" x14ac:dyDescent="0.25">
      <c r="B26" s="2">
        <f t="shared" si="3"/>
        <v>2042</v>
      </c>
      <c r="C26" s="117">
        <f t="shared" si="0"/>
        <v>27801.393749999999</v>
      </c>
      <c r="D26" s="118">
        <f t="shared" si="1"/>
        <v>3246.875</v>
      </c>
      <c r="E26" s="81">
        <f t="shared" si="2"/>
        <v>31048.268749999999</v>
      </c>
      <c r="F26" s="84">
        <f>E26*(1+0.07)^-($B26-'Global Assumptions'!$C$6)</f>
        <v>6549.5355260770448</v>
      </c>
      <c r="H26" s="228" t="s">
        <v>46</v>
      </c>
      <c r="I26" s="293" t="s">
        <v>194</v>
      </c>
      <c r="J26" s="295"/>
    </row>
    <row r="27" spans="2:10" x14ac:dyDescent="0.25">
      <c r="B27" s="2">
        <f t="shared" si="3"/>
        <v>2043</v>
      </c>
      <c r="C27" s="117"/>
      <c r="D27" s="118"/>
      <c r="E27" s="81">
        <f t="shared" ref="E27:E36" si="4">SUM(C27:C27)</f>
        <v>0</v>
      </c>
      <c r="F27" s="84">
        <f>E27*(1+0.07)^-($B27-'Global Assumptions'!$C$6)</f>
        <v>0</v>
      </c>
      <c r="H27" s="317">
        <v>2021</v>
      </c>
      <c r="I27" s="330">
        <f>$I$12*$I$11</f>
        <v>3246.875</v>
      </c>
    </row>
    <row r="28" spans="2:10" x14ac:dyDescent="0.25">
      <c r="B28" s="2">
        <f t="shared" si="3"/>
        <v>2044</v>
      </c>
      <c r="C28" s="117"/>
      <c r="D28" s="118"/>
      <c r="E28" s="81">
        <f t="shared" si="4"/>
        <v>0</v>
      </c>
      <c r="F28" s="84">
        <f>E28*(1+0.07)^-($B28-'Global Assumptions'!$C$6)</f>
        <v>0</v>
      </c>
    </row>
    <row r="29" spans="2:10" x14ac:dyDescent="0.25">
      <c r="B29" s="2">
        <f t="shared" si="3"/>
        <v>2045</v>
      </c>
      <c r="C29" s="117"/>
      <c r="D29" s="118"/>
      <c r="E29" s="81">
        <f t="shared" si="4"/>
        <v>0</v>
      </c>
      <c r="F29" s="84">
        <f>E29*(1+0.07)^-($B29-'Global Assumptions'!$C$6)</f>
        <v>0</v>
      </c>
    </row>
    <row r="30" spans="2:10" x14ac:dyDescent="0.25">
      <c r="B30" s="2">
        <f t="shared" si="3"/>
        <v>2046</v>
      </c>
      <c r="C30" s="117"/>
      <c r="D30" s="118"/>
      <c r="E30" s="81">
        <f t="shared" si="4"/>
        <v>0</v>
      </c>
      <c r="F30" s="84">
        <f>E30*(1+0.07)^-($B30-'Global Assumptions'!$C$6)</f>
        <v>0</v>
      </c>
    </row>
    <row r="31" spans="2:10" ht="14.25" customHeight="1" x14ac:dyDescent="0.25">
      <c r="B31" s="2">
        <f t="shared" si="3"/>
        <v>2047</v>
      </c>
      <c r="C31" s="117"/>
      <c r="D31" s="118"/>
      <c r="E31" s="81">
        <f t="shared" si="4"/>
        <v>0</v>
      </c>
      <c r="F31" s="84">
        <f>E31*(1+0.07)^-($B31-'Global Assumptions'!$C$6)</f>
        <v>0</v>
      </c>
    </row>
    <row r="32" spans="2:10" x14ac:dyDescent="0.25">
      <c r="B32" s="2">
        <f t="shared" si="3"/>
        <v>2048</v>
      </c>
      <c r="C32" s="117"/>
      <c r="D32" s="118"/>
      <c r="E32" s="81">
        <f t="shared" si="4"/>
        <v>0</v>
      </c>
      <c r="F32" s="84">
        <f>E32*(1+0.07)^-($B32-'Global Assumptions'!$C$6)</f>
        <v>0</v>
      </c>
    </row>
    <row r="33" spans="1:9" x14ac:dyDescent="0.25">
      <c r="B33" s="2">
        <f t="shared" si="3"/>
        <v>2049</v>
      </c>
      <c r="C33" s="117"/>
      <c r="D33" s="118"/>
      <c r="E33" s="81">
        <f t="shared" si="4"/>
        <v>0</v>
      </c>
      <c r="F33" s="84">
        <f>E33*(1+0.07)^-($B33-'Global Assumptions'!$C$6)</f>
        <v>0</v>
      </c>
    </row>
    <row r="34" spans="1:9" x14ac:dyDescent="0.25">
      <c r="B34" s="2">
        <f t="shared" si="3"/>
        <v>2050</v>
      </c>
      <c r="C34" s="117"/>
      <c r="D34" s="118"/>
      <c r="E34" s="81">
        <f t="shared" si="4"/>
        <v>0</v>
      </c>
      <c r="F34" s="84">
        <f>E34*(1+0.07)^-($B34-'Global Assumptions'!$C$6)</f>
        <v>0</v>
      </c>
      <c r="H34" s="295"/>
      <c r="I34" s="295"/>
    </row>
    <row r="35" spans="1:9" x14ac:dyDescent="0.25">
      <c r="B35" s="2">
        <f t="shared" si="3"/>
        <v>2051</v>
      </c>
      <c r="C35" s="117"/>
      <c r="D35" s="118"/>
      <c r="E35" s="81">
        <f t="shared" si="4"/>
        <v>0</v>
      </c>
      <c r="F35" s="84">
        <f>E35*(1+0.07)^-($B35-'Global Assumptions'!$C$6)</f>
        <v>0</v>
      </c>
      <c r="H35" s="295"/>
      <c r="I35" s="295"/>
    </row>
    <row r="36" spans="1:9" ht="15" customHeight="1" thickBot="1" x14ac:dyDescent="0.3">
      <c r="B36" s="3">
        <f t="shared" si="3"/>
        <v>2052</v>
      </c>
      <c r="C36" s="120"/>
      <c r="D36" s="121"/>
      <c r="E36" s="91">
        <f t="shared" si="4"/>
        <v>0</v>
      </c>
      <c r="F36" s="85">
        <f>E36*(1+0.07)^-($B36-'Global Assumptions'!$C$6)</f>
        <v>0</v>
      </c>
      <c r="H36" s="152"/>
      <c r="I36" s="282"/>
    </row>
    <row r="37" spans="1:9" ht="15" customHeight="1" thickBot="1" x14ac:dyDescent="0.3">
      <c r="B37" s="4"/>
      <c r="C37" s="51"/>
      <c r="D37" s="51"/>
      <c r="E37" s="125" t="s">
        <v>2</v>
      </c>
      <c r="F37" s="86">
        <f>SUM(F7:F36)</f>
        <v>270358.3453338106</v>
      </c>
      <c r="H37" s="152"/>
      <c r="I37" s="281"/>
    </row>
    <row r="38" spans="1:9" ht="15" customHeight="1" x14ac:dyDescent="0.25"/>
    <row r="39" spans="1:9" x14ac:dyDescent="0.25">
      <c r="B39" s="15" t="s">
        <v>3</v>
      </c>
      <c r="F39" s="19"/>
    </row>
    <row r="40" spans="1:9" ht="15" customHeight="1" x14ac:dyDescent="0.25">
      <c r="A40" s="152" t="s">
        <v>24</v>
      </c>
      <c r="B40" s="367" t="s">
        <v>345</v>
      </c>
      <c r="C40" s="367"/>
      <c r="D40" s="367"/>
      <c r="E40" s="367"/>
      <c r="F40" s="367"/>
      <c r="H40" s="151"/>
    </row>
    <row r="41" spans="1:9" ht="15" customHeight="1" x14ac:dyDescent="0.25">
      <c r="B41" s="367"/>
      <c r="C41" s="367"/>
      <c r="D41" s="367"/>
      <c r="E41" s="367"/>
      <c r="F41" s="367"/>
    </row>
    <row r="42" spans="1:9" ht="15" customHeight="1" x14ac:dyDescent="0.25">
      <c r="B42" s="367"/>
      <c r="C42" s="367"/>
      <c r="D42" s="367"/>
      <c r="E42" s="367"/>
      <c r="F42" s="367"/>
    </row>
    <row r="43" spans="1:9" ht="15" customHeight="1" x14ac:dyDescent="0.25">
      <c r="B43" s="19"/>
      <c r="C43" s="19"/>
      <c r="D43" s="19"/>
      <c r="E43" s="19"/>
      <c r="F43" s="19"/>
      <c r="G43" s="187"/>
    </row>
    <row r="44" spans="1:9" ht="15" customHeight="1" x14ac:dyDescent="0.25">
      <c r="A44" s="152" t="s">
        <v>23</v>
      </c>
      <c r="B44" s="367" t="s">
        <v>321</v>
      </c>
      <c r="C44" s="367"/>
      <c r="D44" s="367"/>
      <c r="E44" s="367"/>
      <c r="F44" s="367"/>
      <c r="G44" s="187"/>
    </row>
    <row r="45" spans="1:9" x14ac:dyDescent="0.25">
      <c r="A45" s="295"/>
      <c r="B45" s="367"/>
      <c r="C45" s="367"/>
      <c r="D45" s="367"/>
      <c r="E45" s="367"/>
      <c r="F45" s="367"/>
      <c r="G45" s="187"/>
      <c r="H45" s="151"/>
    </row>
    <row r="46" spans="1:9" x14ac:dyDescent="0.25">
      <c r="A46" s="295"/>
      <c r="B46" s="367"/>
      <c r="C46" s="367"/>
      <c r="D46" s="367"/>
      <c r="E46" s="367"/>
      <c r="F46" s="367"/>
      <c r="G46" s="187"/>
    </row>
    <row r="47" spans="1:9" x14ac:dyDescent="0.25">
      <c r="B47" s="367"/>
      <c r="C47" s="367"/>
      <c r="D47" s="367"/>
      <c r="E47" s="367"/>
      <c r="F47" s="367"/>
      <c r="G47" s="187"/>
    </row>
    <row r="48" spans="1:9" x14ac:dyDescent="0.25">
      <c r="B48" s="19"/>
      <c r="C48" s="19"/>
      <c r="D48" s="19"/>
      <c r="E48" s="19"/>
      <c r="F48" s="19"/>
      <c r="G48" s="187"/>
    </row>
    <row r="49" spans="2:7" x14ac:dyDescent="0.25">
      <c r="B49" s="19"/>
      <c r="C49" s="19"/>
      <c r="D49" s="19"/>
      <c r="E49" s="19"/>
      <c r="F49" s="19"/>
      <c r="G49" s="187"/>
    </row>
  </sheetData>
  <mergeCells count="7">
    <mergeCell ref="B44:F47"/>
    <mergeCell ref="B40:F42"/>
    <mergeCell ref="B5:B6"/>
    <mergeCell ref="C5:C6"/>
    <mergeCell ref="E5:E6"/>
    <mergeCell ref="F5:F6"/>
    <mergeCell ref="D5:D6"/>
  </mergeCells>
  <hyperlinks>
    <hyperlink ref="J13" r:id="rId1" xr:uid="{EA8B3A72-79D7-4C81-9B87-96405C01FF7F}"/>
    <hyperlink ref="J16" r:id="rId2" xr:uid="{D94B6B11-FA22-4885-8641-AB448EB74423}"/>
  </hyperlinks>
  <pageMargins left="0.25" right="0.25" top="0.75" bottom="0.75" header="0.3" footer="0.3"/>
  <pageSetup paperSize="119" scale="54" orientation="landscap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F4EB6-73A8-4CA4-8B6E-73CE1EA833A5}">
  <sheetPr>
    <tabColor rgb="FF00B050"/>
    <pageSetUpPr fitToPage="1"/>
  </sheetPr>
  <dimension ref="A1:M63"/>
  <sheetViews>
    <sheetView view="pageBreakPreview" zoomScale="85" zoomScaleNormal="85" zoomScaleSheetLayoutView="85" workbookViewId="0">
      <selection activeCell="J23" sqref="J23"/>
    </sheetView>
  </sheetViews>
  <sheetFormatPr defaultRowHeight="15" outlineLevelCol="1" x14ac:dyDescent="0.25"/>
  <cols>
    <col min="1" max="1" width="9.140625" style="211"/>
    <col min="2" max="3" width="15.7109375" style="211" customWidth="1"/>
    <col min="4" max="4" width="18.5703125" style="211" customWidth="1"/>
    <col min="5" max="5" width="18.5703125" style="211" customWidth="1" outlineLevel="1"/>
    <col min="6" max="6" width="15.7109375" style="211" customWidth="1"/>
    <col min="7" max="11" width="15.42578125" style="211" customWidth="1"/>
    <col min="12" max="12" width="21.85546875" style="211" customWidth="1"/>
    <col min="13" max="13" width="15.7109375" style="211" customWidth="1"/>
    <col min="14" max="16384" width="9.140625" style="211"/>
  </cols>
  <sheetData>
    <row r="1" spans="2:13" ht="15.75" thickBot="1" x14ac:dyDescent="0.3">
      <c r="B1" s="151" t="s">
        <v>199</v>
      </c>
      <c r="C1" s="151"/>
      <c r="D1" s="151"/>
      <c r="E1" s="151"/>
    </row>
    <row r="2" spans="2:13" ht="15.75" thickBot="1" x14ac:dyDescent="0.3">
      <c r="C2" s="410" t="s">
        <v>200</v>
      </c>
      <c r="D2" s="411"/>
      <c r="E2" s="412"/>
    </row>
    <row r="3" spans="2:13" ht="35.1" customHeight="1" x14ac:dyDescent="0.25">
      <c r="B3" s="413" t="s">
        <v>0</v>
      </c>
      <c r="C3" s="372" t="s">
        <v>203</v>
      </c>
      <c r="D3" s="376" t="s">
        <v>204</v>
      </c>
      <c r="E3" s="417" t="s">
        <v>205</v>
      </c>
      <c r="G3" s="229"/>
    </row>
    <row r="4" spans="2:13" ht="35.1" customHeight="1" thickBot="1" x14ac:dyDescent="0.3">
      <c r="B4" s="414"/>
      <c r="C4" s="415"/>
      <c r="D4" s="416"/>
      <c r="E4" s="418"/>
    </row>
    <row r="5" spans="2:13" ht="17.25" x14ac:dyDescent="0.25">
      <c r="B5" s="323">
        <f>'C_La Crosse Airport_Costs'!I10</f>
        <v>2023</v>
      </c>
      <c r="C5" s="340">
        <f>'C_La Crosse Airport_Benefits'!$I$16/1000*'C_La Crosse Airport_Benefits'!$I$12</f>
        <v>5.9812500000000002</v>
      </c>
      <c r="D5" s="237">
        <f>C5*_xlfn.XLOOKUP($B5,$G$13:$G$48,$K$13:$K$48)</f>
        <v>322.98750000000001</v>
      </c>
      <c r="E5" s="232">
        <f>D5*(1+0.03)^-($B5-2019)</f>
        <v>286.97021038866859</v>
      </c>
      <c r="G5" s="243" t="s">
        <v>215</v>
      </c>
      <c r="H5" s="243"/>
      <c r="I5" s="243"/>
      <c r="J5" s="243"/>
      <c r="K5" s="259"/>
    </row>
    <row r="6" spans="2:13" x14ac:dyDescent="0.25">
      <c r="B6" s="324">
        <f>B5+1</f>
        <v>2024</v>
      </c>
      <c r="C6" s="327">
        <f>'C_La Crosse Airport_Benefits'!$I$16/1000*'C_La Crosse Airport_Benefits'!$I$12</f>
        <v>5.9812500000000002</v>
      </c>
      <c r="D6" s="326">
        <f t="shared" ref="D6:D24" si="0">C6*_xlfn.XLOOKUP($B6,$G$13:$G$48,$K$13:$K$48)</f>
        <v>328.96875</v>
      </c>
      <c r="E6" s="242">
        <f t="shared" ref="E6:E24" si="1">D6*(1+0.03)^-($B6-2019)</f>
        <v>283.77133353787798</v>
      </c>
      <c r="G6" s="254" t="s">
        <v>217</v>
      </c>
      <c r="H6" s="228" t="s">
        <v>218</v>
      </c>
      <c r="I6" s="228" t="s">
        <v>219</v>
      </c>
      <c r="J6" s="228" t="s">
        <v>220</v>
      </c>
      <c r="K6" s="228" t="s">
        <v>221</v>
      </c>
    </row>
    <row r="7" spans="2:13" x14ac:dyDescent="0.25">
      <c r="B7" s="324">
        <f t="shared" ref="B7:B24" si="2">B6+1</f>
        <v>2025</v>
      </c>
      <c r="C7" s="327">
        <f>'C_La Crosse Airport_Benefits'!$I$16/1000*'C_La Crosse Airport_Benefits'!$I$12</f>
        <v>5.9812500000000002</v>
      </c>
      <c r="D7" s="326">
        <f t="shared" si="0"/>
        <v>334.95</v>
      </c>
      <c r="E7" s="242">
        <f t="shared" si="1"/>
        <v>280.51535177619007</v>
      </c>
      <c r="G7" s="254" t="s">
        <v>228</v>
      </c>
      <c r="H7" s="255">
        <v>0</v>
      </c>
      <c r="I7" s="255">
        <v>0</v>
      </c>
      <c r="J7" s="255">
        <v>0</v>
      </c>
      <c r="K7" s="255">
        <v>0</v>
      </c>
    </row>
    <row r="8" spans="2:13" x14ac:dyDescent="0.25">
      <c r="B8" s="324">
        <f t="shared" si="2"/>
        <v>2026</v>
      </c>
      <c r="C8" s="327">
        <f>'C_La Crosse Airport_Benefits'!$I$16/1000*'C_La Crosse Airport_Benefits'!$I$12</f>
        <v>5.9812500000000002</v>
      </c>
      <c r="D8" s="326">
        <f t="shared" si="0"/>
        <v>340.93125000000003</v>
      </c>
      <c r="E8" s="242">
        <f t="shared" si="1"/>
        <v>277.20830532667878</v>
      </c>
    </row>
    <row r="9" spans="2:13" ht="15" customHeight="1" x14ac:dyDescent="0.25">
      <c r="B9" s="324">
        <f t="shared" si="2"/>
        <v>2027</v>
      </c>
      <c r="C9" s="327">
        <f>'C_La Crosse Airport_Benefits'!$I$16/1000*'C_La Crosse Airport_Benefits'!$I$12</f>
        <v>5.9812500000000002</v>
      </c>
      <c r="D9" s="326">
        <f t="shared" si="0"/>
        <v>346.91250000000002</v>
      </c>
      <c r="E9" s="242">
        <f t="shared" si="1"/>
        <v>273.85593099893322</v>
      </c>
      <c r="G9" s="151"/>
      <c r="H9" s="257"/>
      <c r="I9" s="258"/>
      <c r="J9" s="257"/>
    </row>
    <row r="10" spans="2:13" x14ac:dyDescent="0.25">
      <c r="B10" s="324">
        <f t="shared" si="2"/>
        <v>2028</v>
      </c>
      <c r="C10" s="327">
        <f>'C_La Crosse Airport_Benefits'!$I$16/1000*'C_La Crosse Airport_Benefits'!$I$12</f>
        <v>5.9812500000000002</v>
      </c>
      <c r="D10" s="326">
        <f t="shared" si="0"/>
        <v>352.89375000000001</v>
      </c>
      <c r="E10" s="242">
        <f t="shared" si="1"/>
        <v>270.46367473948879</v>
      </c>
      <c r="H10" s="158"/>
      <c r="I10" s="158"/>
      <c r="J10" s="158"/>
    </row>
    <row r="11" spans="2:13" ht="17.25" x14ac:dyDescent="0.25">
      <c r="B11" s="324">
        <f t="shared" si="2"/>
        <v>2029</v>
      </c>
      <c r="C11" s="327">
        <f>'C_La Crosse Airport_Benefits'!$I$16/1000*'C_La Crosse Airport_Benefits'!$I$12</f>
        <v>5.9812500000000002</v>
      </c>
      <c r="D11" s="326">
        <f t="shared" si="0"/>
        <v>358.875</v>
      </c>
      <c r="E11" s="242">
        <f t="shared" si="1"/>
        <v>267.03670370856224</v>
      </c>
      <c r="G11" s="151" t="s">
        <v>230</v>
      </c>
    </row>
    <row r="12" spans="2:13" x14ac:dyDescent="0.25">
      <c r="B12" s="324">
        <f t="shared" si="2"/>
        <v>2030</v>
      </c>
      <c r="C12" s="327">
        <f>'C_La Crosse Airport_Benefits'!$I$16/1000*'C_La Crosse Airport_Benefits'!$I$12</f>
        <v>5.9812500000000002</v>
      </c>
      <c r="D12" s="326">
        <f t="shared" si="0"/>
        <v>364.85624999999999</v>
      </c>
      <c r="E12" s="242">
        <f t="shared" si="1"/>
        <v>263.57991790003717</v>
      </c>
      <c r="G12" s="260" t="s">
        <v>46</v>
      </c>
      <c r="H12" s="139" t="s">
        <v>218</v>
      </c>
      <c r="I12" s="139" t="s">
        <v>219</v>
      </c>
      <c r="J12" s="139" t="s">
        <v>220</v>
      </c>
      <c r="K12" s="139" t="s">
        <v>221</v>
      </c>
    </row>
    <row r="13" spans="2:13" ht="15" customHeight="1" x14ac:dyDescent="0.25">
      <c r="B13" s="324">
        <f t="shared" si="2"/>
        <v>2031</v>
      </c>
      <c r="C13" s="327">
        <f>'C_La Crosse Airport_Benefits'!$I$16/1000*'C_La Crosse Airport_Benefits'!$I$12</f>
        <v>5.9812500000000002</v>
      </c>
      <c r="D13" s="326">
        <f t="shared" si="0"/>
        <v>370.83750000000003</v>
      </c>
      <c r="E13" s="242">
        <f t="shared" si="1"/>
        <v>260.09796132106175</v>
      </c>
      <c r="G13" s="261">
        <v>2020</v>
      </c>
      <c r="H13" s="262">
        <v>15700</v>
      </c>
      <c r="I13" s="262">
        <v>40400</v>
      </c>
      <c r="J13" s="262">
        <v>729300</v>
      </c>
      <c r="K13" s="262">
        <v>50</v>
      </c>
    </row>
    <row r="14" spans="2:13" x14ac:dyDescent="0.25">
      <c r="B14" s="324">
        <f t="shared" si="2"/>
        <v>2032</v>
      </c>
      <c r="C14" s="327">
        <f>'C_La Crosse Airport_Benefits'!$I$16/1000*'C_La Crosse Airport_Benefits'!$I$12</f>
        <v>5.9812500000000002</v>
      </c>
      <c r="D14" s="326">
        <f t="shared" si="0"/>
        <v>376.81875000000002</v>
      </c>
      <c r="E14" s="242">
        <f t="shared" si="1"/>
        <v>256.59523274705435</v>
      </c>
      <c r="G14" s="261">
        <v>2021</v>
      </c>
      <c r="H14" s="262">
        <v>15900</v>
      </c>
      <c r="I14" s="262">
        <v>41300</v>
      </c>
      <c r="J14" s="262">
        <v>742300</v>
      </c>
      <c r="K14" s="262">
        <v>52</v>
      </c>
    </row>
    <row r="15" spans="2:13" x14ac:dyDescent="0.25">
      <c r="B15" s="324">
        <f t="shared" si="2"/>
        <v>2033</v>
      </c>
      <c r="C15" s="327">
        <f>'C_La Crosse Airport_Benefits'!$I$16/1000*'C_La Crosse Airport_Benefits'!$I$12</f>
        <v>5.9812500000000002</v>
      </c>
      <c r="D15" s="326">
        <f t="shared" si="0"/>
        <v>382.8</v>
      </c>
      <c r="E15" s="242">
        <f t="shared" si="1"/>
        <v>253.07589606736744</v>
      </c>
      <c r="G15" s="261">
        <v>2022</v>
      </c>
      <c r="H15" s="262">
        <v>16100</v>
      </c>
      <c r="I15" s="262">
        <v>42100</v>
      </c>
      <c r="J15" s="262">
        <v>755500</v>
      </c>
      <c r="K15" s="262">
        <v>53</v>
      </c>
    </row>
    <row r="16" spans="2:13" x14ac:dyDescent="0.25">
      <c r="B16" s="324">
        <f t="shared" si="2"/>
        <v>2034</v>
      </c>
      <c r="C16" s="327">
        <f>'C_La Crosse Airport_Benefits'!$I$16/1000*'C_La Crosse Airport_Benefits'!$I$12</f>
        <v>5.9812500000000002</v>
      </c>
      <c r="D16" s="326">
        <f t="shared" si="0"/>
        <v>394.76249999999999</v>
      </c>
      <c r="E16" s="242">
        <f t="shared" si="1"/>
        <v>253.38302700919675</v>
      </c>
      <c r="G16" s="261">
        <v>2023</v>
      </c>
      <c r="H16" s="262">
        <v>16400</v>
      </c>
      <c r="I16" s="262">
        <v>43000</v>
      </c>
      <c r="J16" s="262">
        <v>769000</v>
      </c>
      <c r="K16" s="262">
        <v>54</v>
      </c>
      <c r="L16" s="295"/>
      <c r="M16" s="295"/>
    </row>
    <row r="17" spans="1:13" x14ac:dyDescent="0.25">
      <c r="B17" s="324">
        <f t="shared" si="2"/>
        <v>2035</v>
      </c>
      <c r="C17" s="327">
        <f>'C_La Crosse Airport_Benefits'!$I$16/1000*'C_La Crosse Airport_Benefits'!$I$12</f>
        <v>5.9812500000000002</v>
      </c>
      <c r="D17" s="326">
        <f t="shared" si="0"/>
        <v>400.74375000000003</v>
      </c>
      <c r="E17" s="242">
        <f t="shared" si="1"/>
        <v>249.73025609909072</v>
      </c>
      <c r="G17" s="261">
        <v>2024</v>
      </c>
      <c r="H17" s="262">
        <v>16600</v>
      </c>
      <c r="I17" s="262">
        <v>43900</v>
      </c>
      <c r="J17" s="262">
        <v>782700</v>
      </c>
      <c r="K17" s="262">
        <v>55</v>
      </c>
      <c r="L17" s="295"/>
      <c r="M17" s="295"/>
    </row>
    <row r="18" spans="1:13" x14ac:dyDescent="0.25">
      <c r="B18" s="324">
        <f t="shared" si="2"/>
        <v>2036</v>
      </c>
      <c r="C18" s="327">
        <f>'C_La Crosse Airport_Benefits'!$I$16/1000*'C_La Crosse Airport_Benefits'!$I$12</f>
        <v>5.9812500000000002</v>
      </c>
      <c r="D18" s="326">
        <f t="shared" si="0"/>
        <v>406.72500000000002</v>
      </c>
      <c r="E18" s="242">
        <f t="shared" si="1"/>
        <v>246.0753139362146</v>
      </c>
      <c r="G18" s="261">
        <v>2025</v>
      </c>
      <c r="H18" s="262">
        <v>16800</v>
      </c>
      <c r="I18" s="262">
        <v>44900</v>
      </c>
      <c r="J18" s="262">
        <v>796600</v>
      </c>
      <c r="K18" s="262">
        <v>56</v>
      </c>
      <c r="L18" s="295"/>
      <c r="M18" s="295"/>
    </row>
    <row r="19" spans="1:13" x14ac:dyDescent="0.25">
      <c r="B19" s="324">
        <f t="shared" si="2"/>
        <v>2037</v>
      </c>
      <c r="C19" s="327">
        <f>'C_La Crosse Airport_Benefits'!$I$16/1000*'C_La Crosse Airport_Benefits'!$I$12</f>
        <v>5.9812500000000002</v>
      </c>
      <c r="D19" s="326">
        <f t="shared" si="0"/>
        <v>412.70625000000001</v>
      </c>
      <c r="E19" s="242">
        <f t="shared" si="1"/>
        <v>242.42142577953749</v>
      </c>
      <c r="G19" s="261">
        <v>2026</v>
      </c>
      <c r="H19" s="262">
        <v>17000</v>
      </c>
      <c r="I19" s="262">
        <v>45500</v>
      </c>
      <c r="J19" s="262">
        <v>807500</v>
      </c>
      <c r="K19" s="262">
        <v>57</v>
      </c>
      <c r="L19" s="295"/>
      <c r="M19" s="295"/>
    </row>
    <row r="20" spans="1:13" x14ac:dyDescent="0.25">
      <c r="B20" s="324">
        <f t="shared" si="2"/>
        <v>2038</v>
      </c>
      <c r="C20" s="327">
        <f>'C_La Crosse Airport_Benefits'!$I$16/1000*'C_La Crosse Airport_Benefits'!$I$12</f>
        <v>5.9812500000000002</v>
      </c>
      <c r="D20" s="326">
        <f t="shared" si="0"/>
        <v>418.6875</v>
      </c>
      <c r="E20" s="242">
        <f t="shared" si="1"/>
        <v>238.77163085081784</v>
      </c>
      <c r="G20" s="261">
        <v>2027</v>
      </c>
      <c r="H20" s="262">
        <v>17300</v>
      </c>
      <c r="I20" s="262">
        <v>46200</v>
      </c>
      <c r="J20" s="262">
        <v>818600</v>
      </c>
      <c r="K20" s="262">
        <v>58</v>
      </c>
      <c r="L20" s="295"/>
      <c r="M20" s="295"/>
    </row>
    <row r="21" spans="1:13" x14ac:dyDescent="0.25">
      <c r="B21" s="324">
        <f t="shared" si="2"/>
        <v>2039</v>
      </c>
      <c r="C21" s="327">
        <f>'C_La Crosse Airport_Benefits'!$I$16/1000*'C_La Crosse Airport_Benefits'!$I$12</f>
        <v>5.9812500000000002</v>
      </c>
      <c r="D21" s="326">
        <f t="shared" si="0"/>
        <v>424.66874999999999</v>
      </c>
      <c r="E21" s="242">
        <f t="shared" si="1"/>
        <v>235.12879043561813</v>
      </c>
      <c r="G21" s="261">
        <v>2028</v>
      </c>
      <c r="H21" s="262">
        <v>17500</v>
      </c>
      <c r="I21" s="262">
        <v>46900</v>
      </c>
      <c r="J21" s="262">
        <v>829800</v>
      </c>
      <c r="K21" s="262">
        <v>59</v>
      </c>
      <c r="L21" s="295"/>
      <c r="M21" s="295"/>
    </row>
    <row r="22" spans="1:13" x14ac:dyDescent="0.25">
      <c r="B22" s="324">
        <f t="shared" si="2"/>
        <v>2040</v>
      </c>
      <c r="C22" s="327">
        <f>'C_La Crosse Airport_Benefits'!$I$16/1000*'C_La Crosse Airport_Benefits'!$I$12</f>
        <v>5.9812500000000002</v>
      </c>
      <c r="D22" s="326">
        <f t="shared" si="0"/>
        <v>430.65000000000003</v>
      </c>
      <c r="E22" s="242">
        <f t="shared" si="1"/>
        <v>231.49559567023803</v>
      </c>
      <c r="G22" s="261">
        <v>2029</v>
      </c>
      <c r="H22" s="262">
        <v>17700</v>
      </c>
      <c r="I22" s="262">
        <v>47600</v>
      </c>
      <c r="J22" s="262">
        <v>841200</v>
      </c>
      <c r="K22" s="262">
        <v>60</v>
      </c>
      <c r="L22" s="295"/>
      <c r="M22" s="295"/>
    </row>
    <row r="23" spans="1:13" x14ac:dyDescent="0.25">
      <c r="B23" s="324">
        <f t="shared" si="2"/>
        <v>2041</v>
      </c>
      <c r="C23" s="327">
        <f>'C_La Crosse Airport_Benefits'!$I$16/1000*'C_La Crosse Airport_Benefits'!$I$12</f>
        <v>5.9812500000000002</v>
      </c>
      <c r="D23" s="326">
        <f t="shared" si="0"/>
        <v>436.63125000000002</v>
      </c>
      <c r="E23" s="242">
        <f t="shared" si="1"/>
        <v>227.87457502598943</v>
      </c>
      <c r="G23" s="261">
        <v>2030</v>
      </c>
      <c r="H23" s="262">
        <v>18000</v>
      </c>
      <c r="I23" s="262">
        <v>48200</v>
      </c>
      <c r="J23" s="262">
        <v>852700</v>
      </c>
      <c r="K23" s="262">
        <v>61</v>
      </c>
      <c r="L23" s="295"/>
      <c r="M23" s="295"/>
    </row>
    <row r="24" spans="1:13" ht="15" customHeight="1" thickBot="1" x14ac:dyDescent="0.3">
      <c r="B24" s="325">
        <f t="shared" si="2"/>
        <v>2042</v>
      </c>
      <c r="C24" s="322">
        <f>'C_La Crosse Airport_Benefits'!$I$16/1000*'C_La Crosse Airport_Benefits'!$I$12</f>
        <v>5.9812500000000002</v>
      </c>
      <c r="D24" s="270">
        <f t="shared" si="0"/>
        <v>448.59375</v>
      </c>
      <c r="E24" s="265">
        <f t="shared" si="1"/>
        <v>227.29875152213333</v>
      </c>
      <c r="G24" s="261">
        <v>2031</v>
      </c>
      <c r="H24" s="262">
        <v>18000</v>
      </c>
      <c r="I24" s="262">
        <v>48200</v>
      </c>
      <c r="J24" s="262">
        <v>852700</v>
      </c>
      <c r="K24" s="262">
        <v>62</v>
      </c>
      <c r="L24" s="295"/>
      <c r="M24" s="295"/>
    </row>
    <row r="25" spans="1:13" x14ac:dyDescent="0.25">
      <c r="B25" s="4"/>
      <c r="C25" s="4"/>
      <c r="D25" s="274" t="s">
        <v>2</v>
      </c>
      <c r="E25" s="275">
        <f>SUM(E5:E24)</f>
        <v>5125.3498848407553</v>
      </c>
      <c r="G25" s="261">
        <v>2032</v>
      </c>
      <c r="H25" s="262">
        <v>18000</v>
      </c>
      <c r="I25" s="262">
        <v>48200</v>
      </c>
      <c r="J25" s="262">
        <v>852700</v>
      </c>
      <c r="K25" s="262">
        <v>63</v>
      </c>
      <c r="L25" s="295"/>
      <c r="M25" s="295"/>
    </row>
    <row r="26" spans="1:13" x14ac:dyDescent="0.25">
      <c r="G26" s="261">
        <v>2033</v>
      </c>
      <c r="H26" s="262">
        <v>18000</v>
      </c>
      <c r="I26" s="262">
        <v>48200</v>
      </c>
      <c r="J26" s="262">
        <v>852700</v>
      </c>
      <c r="K26" s="262">
        <v>64</v>
      </c>
      <c r="L26" s="295"/>
      <c r="M26" s="295"/>
    </row>
    <row r="27" spans="1:13" x14ac:dyDescent="0.25">
      <c r="B27" s="151" t="s">
        <v>3</v>
      </c>
      <c r="C27" s="151"/>
      <c r="D27" s="151"/>
      <c r="E27" s="151"/>
      <c r="G27" s="261">
        <v>2034</v>
      </c>
      <c r="H27" s="262">
        <v>18000</v>
      </c>
      <c r="I27" s="262">
        <v>48200</v>
      </c>
      <c r="J27" s="262">
        <v>852700</v>
      </c>
      <c r="K27" s="262">
        <v>66</v>
      </c>
      <c r="L27" s="295"/>
      <c r="M27" s="295"/>
    </row>
    <row r="28" spans="1:13" ht="15" customHeight="1" x14ac:dyDescent="0.25">
      <c r="A28" s="152" t="s">
        <v>24</v>
      </c>
      <c r="B28" s="408" t="s">
        <v>347</v>
      </c>
      <c r="C28" s="409"/>
      <c r="D28" s="409"/>
      <c r="E28" s="409"/>
      <c r="G28" s="261">
        <v>2035</v>
      </c>
      <c r="H28" s="262">
        <v>18000</v>
      </c>
      <c r="I28" s="262">
        <v>48200</v>
      </c>
      <c r="J28" s="262">
        <v>852700</v>
      </c>
      <c r="K28" s="262">
        <v>67</v>
      </c>
      <c r="L28" s="295"/>
      <c r="M28" s="295"/>
    </row>
    <row r="29" spans="1:13" x14ac:dyDescent="0.25">
      <c r="B29" s="409"/>
      <c r="C29" s="409"/>
      <c r="D29" s="409"/>
      <c r="E29" s="409"/>
      <c r="G29" s="261">
        <v>2036</v>
      </c>
      <c r="H29" s="262">
        <v>18000</v>
      </c>
      <c r="I29" s="262">
        <v>48200</v>
      </c>
      <c r="J29" s="262">
        <v>852700</v>
      </c>
      <c r="K29" s="262">
        <v>68</v>
      </c>
      <c r="L29" s="295"/>
      <c r="M29" s="295"/>
    </row>
    <row r="30" spans="1:13" x14ac:dyDescent="0.25">
      <c r="B30" s="409"/>
      <c r="C30" s="409"/>
      <c r="D30" s="409"/>
      <c r="E30" s="409"/>
      <c r="G30" s="261">
        <v>2037</v>
      </c>
      <c r="H30" s="262">
        <v>18000</v>
      </c>
      <c r="I30" s="262">
        <v>48200</v>
      </c>
      <c r="J30" s="262">
        <v>852700</v>
      </c>
      <c r="K30" s="262">
        <v>69</v>
      </c>
      <c r="L30" s="295"/>
      <c r="M30" s="295"/>
    </row>
    <row r="31" spans="1:13" x14ac:dyDescent="0.25">
      <c r="B31" s="151"/>
      <c r="C31" s="151"/>
      <c r="D31" s="151"/>
      <c r="E31" s="151"/>
      <c r="G31" s="261">
        <v>2038</v>
      </c>
      <c r="H31" s="262">
        <v>18000</v>
      </c>
      <c r="I31" s="262">
        <v>48200</v>
      </c>
      <c r="J31" s="262">
        <v>852700</v>
      </c>
      <c r="K31" s="262">
        <v>70</v>
      </c>
      <c r="L31" s="295"/>
      <c r="M31" s="295"/>
    </row>
    <row r="32" spans="1:13" ht="15" customHeight="1" x14ac:dyDescent="0.25">
      <c r="A32" s="152" t="s">
        <v>23</v>
      </c>
      <c r="B32" s="369" t="s">
        <v>292</v>
      </c>
      <c r="C32" s="369"/>
      <c r="D32" s="369"/>
      <c r="E32" s="369"/>
      <c r="G32" s="261">
        <v>2039</v>
      </c>
      <c r="H32" s="262">
        <v>18000</v>
      </c>
      <c r="I32" s="262">
        <v>48200</v>
      </c>
      <c r="J32" s="262">
        <v>852700</v>
      </c>
      <c r="K32" s="262">
        <v>71</v>
      </c>
      <c r="L32" s="295"/>
      <c r="M32" s="295"/>
    </row>
    <row r="33" spans="1:13" x14ac:dyDescent="0.25">
      <c r="B33" s="369"/>
      <c r="C33" s="369"/>
      <c r="D33" s="369"/>
      <c r="E33" s="369"/>
      <c r="G33" s="261">
        <v>2040</v>
      </c>
      <c r="H33" s="262">
        <v>18000</v>
      </c>
      <c r="I33" s="262">
        <v>48200</v>
      </c>
      <c r="J33" s="262">
        <v>852700</v>
      </c>
      <c r="K33" s="262">
        <v>72</v>
      </c>
      <c r="L33" s="295"/>
      <c r="M33" s="295"/>
    </row>
    <row r="34" spans="1:13" x14ac:dyDescent="0.25">
      <c r="A34" s="152"/>
      <c r="B34" s="369"/>
      <c r="C34" s="369"/>
      <c r="D34" s="369"/>
      <c r="E34" s="369"/>
      <c r="G34" s="261">
        <v>2041</v>
      </c>
      <c r="H34" s="262">
        <v>18000</v>
      </c>
      <c r="I34" s="262">
        <v>48200</v>
      </c>
      <c r="J34" s="262">
        <v>852700</v>
      </c>
      <c r="K34" s="262">
        <v>73</v>
      </c>
      <c r="L34" s="295"/>
      <c r="M34" s="295"/>
    </row>
    <row r="35" spans="1:13" x14ac:dyDescent="0.25">
      <c r="A35" s="152"/>
      <c r="B35" s="369"/>
      <c r="C35" s="369"/>
      <c r="D35" s="369"/>
      <c r="E35" s="369"/>
      <c r="F35" s="214"/>
      <c r="G35" s="261">
        <v>2042</v>
      </c>
      <c r="H35" s="262">
        <v>18000</v>
      </c>
      <c r="I35" s="262">
        <v>48200</v>
      </c>
      <c r="J35" s="262">
        <v>852700</v>
      </c>
      <c r="K35" s="262">
        <v>75</v>
      </c>
      <c r="L35" s="295"/>
      <c r="M35" s="295"/>
    </row>
    <row r="36" spans="1:13" x14ac:dyDescent="0.25">
      <c r="B36" s="50"/>
      <c r="C36" s="50"/>
      <c r="D36" s="50"/>
      <c r="E36" s="50"/>
      <c r="F36" s="214"/>
      <c r="G36" s="261">
        <v>2043</v>
      </c>
      <c r="H36" s="262">
        <v>18000</v>
      </c>
      <c r="I36" s="262">
        <v>48200</v>
      </c>
      <c r="J36" s="262">
        <v>852700</v>
      </c>
      <c r="K36" s="262">
        <v>76</v>
      </c>
      <c r="L36" s="295"/>
      <c r="M36" s="295"/>
    </row>
    <row r="37" spans="1:13" x14ac:dyDescent="0.25">
      <c r="A37" s="152"/>
      <c r="B37" s="50"/>
      <c r="C37" s="50"/>
      <c r="D37" s="50"/>
      <c r="E37" s="50"/>
      <c r="G37" s="261">
        <v>2044</v>
      </c>
      <c r="H37" s="262">
        <v>18000</v>
      </c>
      <c r="I37" s="262">
        <v>48200</v>
      </c>
      <c r="J37" s="262">
        <v>852700</v>
      </c>
      <c r="K37" s="262">
        <v>77</v>
      </c>
      <c r="L37" s="295"/>
      <c r="M37" s="295"/>
    </row>
    <row r="38" spans="1:13" ht="15" customHeight="1" x14ac:dyDescent="0.25">
      <c r="A38" s="152"/>
      <c r="B38" s="187"/>
      <c r="C38" s="187"/>
      <c r="D38" s="187"/>
      <c r="E38" s="187"/>
      <c r="G38" s="261">
        <v>2045</v>
      </c>
      <c r="H38" s="262">
        <v>18000</v>
      </c>
      <c r="I38" s="262">
        <v>48200</v>
      </c>
      <c r="J38" s="262">
        <v>852700</v>
      </c>
      <c r="K38" s="262">
        <v>78</v>
      </c>
      <c r="L38" s="295"/>
      <c r="M38" s="295"/>
    </row>
    <row r="39" spans="1:13" x14ac:dyDescent="0.25">
      <c r="A39" s="152"/>
      <c r="B39" s="187"/>
      <c r="C39" s="187"/>
      <c r="D39" s="187"/>
      <c r="E39" s="187"/>
      <c r="G39" s="261">
        <v>2046</v>
      </c>
      <c r="H39" s="262">
        <v>18000</v>
      </c>
      <c r="I39" s="262">
        <v>48200</v>
      </c>
      <c r="J39" s="262">
        <v>852700</v>
      </c>
      <c r="K39" s="262">
        <v>79</v>
      </c>
      <c r="L39" s="295"/>
      <c r="M39" s="295"/>
    </row>
    <row r="40" spans="1:13" ht="15" customHeight="1" x14ac:dyDescent="0.25">
      <c r="A40" s="152"/>
      <c r="B40" s="187"/>
      <c r="C40" s="187"/>
      <c r="D40" s="187"/>
      <c r="E40" s="187"/>
      <c r="G40" s="261">
        <v>2047</v>
      </c>
      <c r="H40" s="262">
        <v>18000</v>
      </c>
      <c r="I40" s="262">
        <v>48200</v>
      </c>
      <c r="J40" s="262">
        <v>852700</v>
      </c>
      <c r="K40" s="262">
        <v>80</v>
      </c>
      <c r="L40" s="295"/>
      <c r="M40" s="295"/>
    </row>
    <row r="41" spans="1:13" x14ac:dyDescent="0.25">
      <c r="A41" s="152"/>
      <c r="B41" s="187"/>
      <c r="C41" s="187"/>
      <c r="D41" s="187"/>
      <c r="E41" s="187"/>
      <c r="G41" s="261">
        <v>2048</v>
      </c>
      <c r="H41" s="262">
        <v>18000</v>
      </c>
      <c r="I41" s="262">
        <v>48200</v>
      </c>
      <c r="J41" s="262">
        <v>852700</v>
      </c>
      <c r="K41" s="262">
        <v>81</v>
      </c>
      <c r="L41" s="295"/>
      <c r="M41" s="295"/>
    </row>
    <row r="42" spans="1:13" ht="15" customHeight="1" x14ac:dyDescent="0.25">
      <c r="A42" s="152"/>
      <c r="B42" s="187"/>
      <c r="C42" s="187"/>
      <c r="D42" s="187"/>
      <c r="E42" s="187"/>
      <c r="G42" s="261">
        <v>2049</v>
      </c>
      <c r="H42" s="262">
        <v>18000</v>
      </c>
      <c r="I42" s="262">
        <v>48200</v>
      </c>
      <c r="J42" s="262">
        <v>852700</v>
      </c>
      <c r="K42" s="262">
        <v>83</v>
      </c>
      <c r="L42" s="295"/>
      <c r="M42" s="295"/>
    </row>
    <row r="43" spans="1:13" ht="15.75" customHeight="1" x14ac:dyDescent="0.25">
      <c r="A43" s="152"/>
      <c r="B43" s="50"/>
      <c r="C43" s="50"/>
      <c r="D43" s="50"/>
      <c r="E43" s="50"/>
      <c r="G43" s="261">
        <v>2050</v>
      </c>
      <c r="H43" s="262">
        <v>18000</v>
      </c>
      <c r="I43" s="262">
        <v>48200</v>
      </c>
      <c r="J43" s="262">
        <v>852700</v>
      </c>
      <c r="K43" s="262">
        <v>84</v>
      </c>
      <c r="L43" s="295"/>
      <c r="M43" s="295"/>
    </row>
    <row r="44" spans="1:13" ht="15" customHeight="1" x14ac:dyDescent="0.25">
      <c r="B44" s="50"/>
      <c r="C44" s="50"/>
      <c r="D44" s="50"/>
      <c r="E44" s="50"/>
      <c r="G44" s="278">
        <v>2051</v>
      </c>
      <c r="H44" s="279">
        <f>H43</f>
        <v>18000</v>
      </c>
      <c r="I44" s="279">
        <f t="shared" ref="I44:J48" si="3">I43</f>
        <v>48200</v>
      </c>
      <c r="J44" s="279">
        <f t="shared" si="3"/>
        <v>852700</v>
      </c>
      <c r="K44" s="279">
        <f>K43</f>
        <v>84</v>
      </c>
      <c r="L44" s="406" t="s">
        <v>236</v>
      </c>
      <c r="M44" s="407"/>
    </row>
    <row r="45" spans="1:13" ht="15" customHeight="1" x14ac:dyDescent="0.25">
      <c r="B45" s="50"/>
      <c r="C45" s="50"/>
      <c r="D45" s="50"/>
      <c r="E45" s="50"/>
      <c r="G45" s="278">
        <v>2052</v>
      </c>
      <c r="H45" s="279">
        <f t="shared" ref="H45:H48" si="4">H44</f>
        <v>18000</v>
      </c>
      <c r="I45" s="279">
        <f t="shared" si="3"/>
        <v>48200</v>
      </c>
      <c r="J45" s="279">
        <f t="shared" si="3"/>
        <v>852700</v>
      </c>
      <c r="K45" s="279">
        <f>K44</f>
        <v>84</v>
      </c>
      <c r="L45" s="406"/>
      <c r="M45" s="407"/>
    </row>
    <row r="46" spans="1:13" x14ac:dyDescent="0.25">
      <c r="B46" s="50"/>
      <c r="C46" s="50"/>
      <c r="D46" s="50"/>
      <c r="E46" s="50"/>
      <c r="G46" s="278">
        <v>2053</v>
      </c>
      <c r="H46" s="279">
        <f t="shared" si="4"/>
        <v>18000</v>
      </c>
      <c r="I46" s="279">
        <f t="shared" si="3"/>
        <v>48200</v>
      </c>
      <c r="J46" s="279">
        <f t="shared" si="3"/>
        <v>852700</v>
      </c>
      <c r="K46" s="279">
        <f>K45</f>
        <v>84</v>
      </c>
      <c r="L46" s="406"/>
      <c r="M46" s="407"/>
    </row>
    <row r="47" spans="1:13" x14ac:dyDescent="0.25">
      <c r="A47" s="152"/>
      <c r="B47" s="50"/>
      <c r="C47" s="50"/>
      <c r="D47" s="50"/>
      <c r="E47" s="50"/>
      <c r="G47" s="278">
        <v>2054</v>
      </c>
      <c r="H47" s="279">
        <f t="shared" si="4"/>
        <v>18000</v>
      </c>
      <c r="I47" s="279">
        <f t="shared" si="3"/>
        <v>48200</v>
      </c>
      <c r="J47" s="279">
        <f t="shared" si="3"/>
        <v>852700</v>
      </c>
      <c r="K47" s="279">
        <f>K46</f>
        <v>84</v>
      </c>
      <c r="L47" s="406"/>
      <c r="M47" s="407"/>
    </row>
    <row r="48" spans="1:13" x14ac:dyDescent="0.25">
      <c r="B48" s="50"/>
      <c r="C48" s="50"/>
      <c r="D48" s="50"/>
      <c r="E48" s="50"/>
      <c r="G48" s="278">
        <v>2055</v>
      </c>
      <c r="H48" s="279">
        <f t="shared" si="4"/>
        <v>18000</v>
      </c>
      <c r="I48" s="279">
        <f t="shared" si="3"/>
        <v>48200</v>
      </c>
      <c r="J48" s="279">
        <f t="shared" si="3"/>
        <v>852700</v>
      </c>
      <c r="K48" s="279">
        <f>K47</f>
        <v>84</v>
      </c>
      <c r="L48" s="406"/>
      <c r="M48" s="407"/>
    </row>
    <row r="49" spans="1:5" x14ac:dyDescent="0.25">
      <c r="B49" s="50"/>
      <c r="C49" s="50"/>
      <c r="D49" s="50"/>
      <c r="E49" s="50"/>
    </row>
    <row r="50" spans="1:5" x14ac:dyDescent="0.25">
      <c r="B50" s="50"/>
      <c r="C50" s="50"/>
      <c r="D50" s="50"/>
      <c r="E50" s="50"/>
    </row>
    <row r="51" spans="1:5" x14ac:dyDescent="0.25">
      <c r="B51" s="50"/>
      <c r="C51" s="50"/>
      <c r="D51" s="50"/>
      <c r="E51" s="50"/>
    </row>
    <row r="52" spans="1:5" x14ac:dyDescent="0.25">
      <c r="B52" s="50"/>
      <c r="C52" s="50"/>
      <c r="D52" s="50"/>
      <c r="E52" s="50"/>
    </row>
    <row r="53" spans="1:5" x14ac:dyDescent="0.25">
      <c r="B53" s="50"/>
      <c r="C53" s="50"/>
      <c r="D53" s="50"/>
      <c r="E53" s="50"/>
    </row>
    <row r="54" spans="1:5" x14ac:dyDescent="0.25">
      <c r="B54" s="50"/>
      <c r="C54" s="50"/>
      <c r="D54" s="50"/>
      <c r="E54" s="50"/>
    </row>
    <row r="55" spans="1:5" x14ac:dyDescent="0.25">
      <c r="A55" s="152"/>
      <c r="B55" s="50"/>
      <c r="C55" s="50"/>
      <c r="D55" s="50"/>
      <c r="E55" s="50"/>
    </row>
    <row r="58" spans="1:5" x14ac:dyDescent="0.25">
      <c r="B58" s="214"/>
      <c r="C58" s="214"/>
      <c r="D58" s="214"/>
      <c r="E58" s="214"/>
    </row>
    <row r="60" spans="1:5" x14ac:dyDescent="0.25">
      <c r="A60" s="152"/>
      <c r="B60" s="21"/>
      <c r="C60" s="21"/>
      <c r="D60" s="21"/>
      <c r="E60" s="21"/>
    </row>
    <row r="61" spans="1:5" x14ac:dyDescent="0.25">
      <c r="B61" s="21"/>
      <c r="C61" s="21"/>
      <c r="D61" s="21"/>
      <c r="E61" s="21"/>
    </row>
    <row r="63" spans="1:5" x14ac:dyDescent="0.25">
      <c r="A63" s="152"/>
    </row>
  </sheetData>
  <dataConsolidate/>
  <mergeCells count="8">
    <mergeCell ref="L44:M48"/>
    <mergeCell ref="B32:E35"/>
    <mergeCell ref="B28:E30"/>
    <mergeCell ref="C2:E2"/>
    <mergeCell ref="B3:B4"/>
    <mergeCell ref="C3:C4"/>
    <mergeCell ref="D3:D4"/>
    <mergeCell ref="E3:E4"/>
  </mergeCells>
  <hyperlinks>
    <hyperlink ref="B28:E30" r:id="rId1" display="https://www.eia.gov/environment/emissions/co2_vol_mass.php" xr:uid="{D8B5938B-F2EC-497F-BF39-B217CF279CFE}"/>
    <hyperlink ref="B28" r:id="rId2" display="https://www.eia.gov/environment/emissions/co2_vol_mass.php" xr:uid="{F19C04BF-041A-4668-AC6A-15B3E00579DE}"/>
  </hyperlinks>
  <pageMargins left="0.25" right="0.25" top="0.75" bottom="0.75" header="0.3" footer="0.3"/>
  <pageSetup paperSize="3" scale="65" orientation="landscap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35D83-1222-499C-836E-61CDA3F84F32}">
  <sheetPr>
    <tabColor rgb="FFC00000"/>
    <pageSetUpPr fitToPage="1"/>
  </sheetPr>
  <dimension ref="A1:M63"/>
  <sheetViews>
    <sheetView view="pageBreakPreview" zoomScale="85" zoomScaleNormal="85" zoomScaleSheetLayoutView="85" workbookViewId="0">
      <selection activeCell="H6" sqref="H6"/>
    </sheetView>
  </sheetViews>
  <sheetFormatPr defaultRowHeight="15" x14ac:dyDescent="0.25"/>
  <cols>
    <col min="1" max="1" width="5.140625" style="220" customWidth="1"/>
    <col min="2" max="7" width="15.7109375" style="220" customWidth="1"/>
    <col min="8" max="8" width="27.85546875" style="220" customWidth="1"/>
    <col min="9" max="10" width="21.140625" style="220" customWidth="1"/>
    <col min="11" max="11" width="16" style="220" customWidth="1"/>
    <col min="12" max="12" width="20.5703125" style="220" customWidth="1"/>
    <col min="13" max="13" width="16" style="220" customWidth="1"/>
    <col min="14" max="14" width="13.140625" style="220" customWidth="1"/>
    <col min="15" max="16384" width="9.140625" style="220"/>
  </cols>
  <sheetData>
    <row r="1" spans="2:13" x14ac:dyDescent="0.25">
      <c r="B1" s="220">
        <v>1</v>
      </c>
      <c r="C1" s="220">
        <f t="shared" ref="C1:F1" si="0">B1+1</f>
        <v>2</v>
      </c>
      <c r="D1" s="220">
        <f t="shared" si="0"/>
        <v>3</v>
      </c>
      <c r="E1" s="220">
        <f t="shared" si="0"/>
        <v>4</v>
      </c>
      <c r="F1" s="220">
        <f t="shared" si="0"/>
        <v>5</v>
      </c>
    </row>
    <row r="2" spans="2:13" x14ac:dyDescent="0.25">
      <c r="B2" s="151" t="s">
        <v>51</v>
      </c>
    </row>
    <row r="3" spans="2:13" ht="15.75" customHeight="1" x14ac:dyDescent="0.25">
      <c r="C3" s="123"/>
      <c r="D3" s="123"/>
      <c r="E3" s="123"/>
      <c r="F3" s="123"/>
    </row>
    <row r="4" spans="2:13" ht="15.75" thickBot="1" x14ac:dyDescent="0.3">
      <c r="C4" s="108"/>
      <c r="D4" s="108"/>
      <c r="E4" s="108"/>
      <c r="F4" s="108"/>
    </row>
    <row r="5" spans="2:13" ht="15.75" customHeight="1" x14ac:dyDescent="0.25">
      <c r="B5" s="380" t="s">
        <v>0</v>
      </c>
      <c r="C5" s="382" t="s">
        <v>26</v>
      </c>
      <c r="D5" s="384" t="s">
        <v>1</v>
      </c>
      <c r="E5" s="386" t="s">
        <v>47</v>
      </c>
      <c r="F5" s="370" t="s">
        <v>48</v>
      </c>
      <c r="H5" s="151" t="s">
        <v>32</v>
      </c>
    </row>
    <row r="6" spans="2:13" ht="15.75" customHeight="1" thickBot="1" x14ac:dyDescent="0.3">
      <c r="B6" s="381"/>
      <c r="C6" s="383"/>
      <c r="D6" s="385"/>
      <c r="E6" s="387"/>
      <c r="F6" s="371"/>
      <c r="I6" s="139" t="s">
        <v>54</v>
      </c>
      <c r="J6" s="104"/>
      <c r="M6" s="103"/>
    </row>
    <row r="7" spans="2:13" ht="15.75" customHeight="1" x14ac:dyDescent="0.25">
      <c r="B7" s="302">
        <f>'Global Assumptions'!$C$6</f>
        <v>2019</v>
      </c>
      <c r="C7" s="308">
        <f t="shared" ref="C7:C44" si="1">IF(AND($B7&gt;=$I$7,$B7&lt;$I$7+$I$8),($J$21)/$I$8,0)</f>
        <v>0</v>
      </c>
      <c r="D7" s="303">
        <f>C7*(1+0.07)^-($B7-'Global Assumptions'!$C$6)</f>
        <v>0</v>
      </c>
      <c r="E7" s="309">
        <f>IF($B7=$I$11,'C_La Crosse Airport_Costs'!$J$31,0)</f>
        <v>0</v>
      </c>
      <c r="F7" s="303">
        <f>E7*(1+0.07)^-($B7-'Global Assumptions'!$C$6)</f>
        <v>0</v>
      </c>
      <c r="H7" s="153" t="s">
        <v>33</v>
      </c>
      <c r="I7" s="95">
        <v>2022</v>
      </c>
      <c r="J7" s="9"/>
      <c r="M7" s="103"/>
    </row>
    <row r="8" spans="2:13" ht="15.75" customHeight="1" x14ac:dyDescent="0.25">
      <c r="B8" s="106">
        <f>B7+1</f>
        <v>2020</v>
      </c>
      <c r="C8" s="304">
        <f t="shared" si="1"/>
        <v>0</v>
      </c>
      <c r="D8" s="305">
        <f>C8*(1+0.07)^-($B8-'Global Assumptions'!$C$6)</f>
        <v>0</v>
      </c>
      <c r="E8" s="310">
        <f>IF($B8=$I$11,'C_La Crosse Airport_Costs'!$J$31,0)</f>
        <v>0</v>
      </c>
      <c r="F8" s="305">
        <f>E8*(1+0.07)^-($B8-'Global Assumptions'!$C$6)</f>
        <v>0</v>
      </c>
      <c r="H8" s="153" t="s">
        <v>31</v>
      </c>
      <c r="I8" s="95">
        <v>1</v>
      </c>
      <c r="J8" s="105"/>
      <c r="M8" s="103"/>
    </row>
    <row r="9" spans="2:13" ht="15.75" customHeight="1" x14ac:dyDescent="0.25">
      <c r="B9" s="106">
        <f t="shared" ref="B9:B44" si="2">B8+1</f>
        <v>2021</v>
      </c>
      <c r="C9" s="306">
        <f t="shared" si="1"/>
        <v>0</v>
      </c>
      <c r="D9" s="71">
        <f>C9*(1+0.07)^-($B9-'Global Assumptions'!$C$6)</f>
        <v>0</v>
      </c>
      <c r="E9" s="301">
        <f>IF($B9=$I$11,'C_La Crosse Airport_Costs'!$J$31,0)</f>
        <v>0</v>
      </c>
      <c r="F9" s="71">
        <f>E9*(1+0.07)^-($B9-'Global Assumptions'!$C$6)</f>
        <v>0</v>
      </c>
      <c r="H9" s="64" t="s">
        <v>59</v>
      </c>
      <c r="I9" s="65">
        <v>20</v>
      </c>
      <c r="J9" s="105"/>
      <c r="M9" s="103"/>
    </row>
    <row r="10" spans="2:13" ht="15.75" customHeight="1" x14ac:dyDescent="0.25">
      <c r="B10" s="106">
        <f t="shared" si="2"/>
        <v>2022</v>
      </c>
      <c r="C10" s="306">
        <f t="shared" si="1"/>
        <v>1223854</v>
      </c>
      <c r="D10" s="71">
        <f>C10*(1+0.07)^-($B10-'Global Assumptions'!$C$6)</f>
        <v>999029.42182437668</v>
      </c>
      <c r="E10" s="301">
        <f>IF($B10=$I$11,'C_La Crosse Airport_Costs'!$J$31,0)</f>
        <v>0</v>
      </c>
      <c r="F10" s="71">
        <f>E10*(1+0.07)^-($B10-'Global Assumptions'!$C$6)</f>
        <v>0</v>
      </c>
      <c r="H10" s="64" t="s">
        <v>53</v>
      </c>
      <c r="I10" s="65">
        <f>I7+I8</f>
        <v>2023</v>
      </c>
      <c r="M10" s="103"/>
    </row>
    <row r="11" spans="2:13" ht="15.75" customHeight="1" x14ac:dyDescent="0.25">
      <c r="B11" s="106">
        <f t="shared" si="2"/>
        <v>2023</v>
      </c>
      <c r="C11" s="306">
        <f t="shared" si="1"/>
        <v>0</v>
      </c>
      <c r="D11" s="71">
        <f>C11*(1+0.07)^-($B11-'Global Assumptions'!$C$6)</f>
        <v>0</v>
      </c>
      <c r="E11" s="301">
        <f>IF($B11=$I$11,'C_La Crosse Airport_Costs'!$J$31,0)</f>
        <v>0</v>
      </c>
      <c r="F11" s="71">
        <f>E11*(1+0.07)^-($B11-'Global Assumptions'!$C$6)</f>
        <v>0</v>
      </c>
      <c r="H11" s="64" t="s">
        <v>43</v>
      </c>
      <c r="I11" s="65">
        <f>I10+I9-1</f>
        <v>2042</v>
      </c>
      <c r="M11" s="103"/>
    </row>
    <row r="12" spans="2:13" ht="15.75" customHeight="1" x14ac:dyDescent="0.25">
      <c r="B12" s="106">
        <f t="shared" si="2"/>
        <v>2024</v>
      </c>
      <c r="C12" s="306">
        <f t="shared" si="1"/>
        <v>0</v>
      </c>
      <c r="D12" s="71">
        <f>C12*(1+0.07)^-($B12-'Global Assumptions'!$C$6)</f>
        <v>0</v>
      </c>
      <c r="E12" s="301">
        <f>IF($B12=$I$11,'C_La Crosse Airport_Costs'!$J$31,0)</f>
        <v>0</v>
      </c>
      <c r="F12" s="71">
        <f>E12*(1+0.07)^-($B12-'Global Assumptions'!$C$6)</f>
        <v>0</v>
      </c>
      <c r="H12" s="64" t="s">
        <v>75</v>
      </c>
      <c r="I12" s="65">
        <v>30</v>
      </c>
      <c r="M12" s="103"/>
    </row>
    <row r="13" spans="2:13" ht="15.75" customHeight="1" x14ac:dyDescent="0.25">
      <c r="B13" s="106">
        <f t="shared" si="2"/>
        <v>2025</v>
      </c>
      <c r="C13" s="306">
        <f t="shared" si="1"/>
        <v>0</v>
      </c>
      <c r="D13" s="71">
        <f>C13*(1+0.07)^-($B13-'Global Assumptions'!$C$6)</f>
        <v>0</v>
      </c>
      <c r="E13" s="301">
        <f>IF($B13=$I$11,'C_La Crosse Airport_Costs'!$J$31,0)</f>
        <v>0</v>
      </c>
      <c r="F13" s="71">
        <f>E13*(1+0.07)^-($B13-'Global Assumptions'!$C$6)</f>
        <v>0</v>
      </c>
      <c r="H13" s="129"/>
      <c r="I13" s="130"/>
      <c r="M13" s="103"/>
    </row>
    <row r="14" spans="2:13" ht="15.75" customHeight="1" x14ac:dyDescent="0.25">
      <c r="B14" s="106">
        <f t="shared" si="2"/>
        <v>2026</v>
      </c>
      <c r="C14" s="306">
        <f t="shared" si="1"/>
        <v>0</v>
      </c>
      <c r="D14" s="71">
        <f>C14*(1+0.07)^-($B14-'Global Assumptions'!$C$6)</f>
        <v>0</v>
      </c>
      <c r="E14" s="301">
        <f>IF($B14=$I$11,'C_La Crosse Airport_Costs'!$J$31,0)</f>
        <v>0</v>
      </c>
      <c r="F14" s="71">
        <f>E14*(1+0.07)^-($B14-'Global Assumptions'!$C$6)</f>
        <v>0</v>
      </c>
      <c r="H14" s="22" t="s">
        <v>34</v>
      </c>
      <c r="J14" s="124"/>
      <c r="K14" s="22"/>
    </row>
    <row r="15" spans="2:13" ht="15.75" customHeight="1" x14ac:dyDescent="0.25">
      <c r="B15" s="106">
        <f t="shared" si="2"/>
        <v>2027</v>
      </c>
      <c r="C15" s="306">
        <f t="shared" si="1"/>
        <v>0</v>
      </c>
      <c r="D15" s="71">
        <f>C15*(1+0.07)^-($B15-'Global Assumptions'!$C$6)</f>
        <v>0</v>
      </c>
      <c r="E15" s="301">
        <f>IF($B15=$I$11,'C_La Crosse Airport_Costs'!$J$31,0)</f>
        <v>0</v>
      </c>
      <c r="F15" s="71">
        <f>E15*(1+0.07)^-($B15-'Global Assumptions'!$C$6)</f>
        <v>0</v>
      </c>
      <c r="H15" s="397" t="s">
        <v>4</v>
      </c>
      <c r="I15" s="390" t="s">
        <v>5</v>
      </c>
      <c r="J15" s="393" t="s">
        <v>261</v>
      </c>
      <c r="K15" s="73"/>
    </row>
    <row r="16" spans="2:13" ht="15.75" customHeight="1" x14ac:dyDescent="0.25">
      <c r="B16" s="106">
        <f t="shared" si="2"/>
        <v>2028</v>
      </c>
      <c r="C16" s="306">
        <f t="shared" si="1"/>
        <v>0</v>
      </c>
      <c r="D16" s="71">
        <f>C16*(1+0.07)^-($B16-'Global Assumptions'!$C$6)</f>
        <v>0</v>
      </c>
      <c r="E16" s="301">
        <f>IF($B16=$I$11,'C_La Crosse Airport_Costs'!$J$31,0)</f>
        <v>0</v>
      </c>
      <c r="F16" s="71">
        <f>E16*(1+0.07)^-($B16-'Global Assumptions'!$C$6)</f>
        <v>0</v>
      </c>
      <c r="H16" s="398"/>
      <c r="I16" s="391"/>
      <c r="J16" s="394"/>
      <c r="K16" s="73"/>
    </row>
    <row r="17" spans="2:11" ht="15.75" customHeight="1" x14ac:dyDescent="0.25">
      <c r="B17" s="106">
        <f t="shared" si="2"/>
        <v>2029</v>
      </c>
      <c r="C17" s="306">
        <f t="shared" si="1"/>
        <v>0</v>
      </c>
      <c r="D17" s="71">
        <f>C17*(1+0.07)^-($B17-'Global Assumptions'!$C$6)</f>
        <v>0</v>
      </c>
      <c r="E17" s="301">
        <f>IF($B17=$I$11,'C_La Crosse Airport_Costs'!$J$31,0)</f>
        <v>0</v>
      </c>
      <c r="F17" s="71">
        <f>E17*(1+0.07)^-($B17-'Global Assumptions'!$C$6)</f>
        <v>0</v>
      </c>
      <c r="H17" s="399"/>
      <c r="I17" s="392"/>
      <c r="J17" s="395"/>
      <c r="K17" s="73"/>
    </row>
    <row r="18" spans="2:11" ht="15.75" customHeight="1" x14ac:dyDescent="0.25">
      <c r="B18" s="106">
        <f t="shared" si="2"/>
        <v>2030</v>
      </c>
      <c r="C18" s="306">
        <f t="shared" si="1"/>
        <v>0</v>
      </c>
      <c r="D18" s="71">
        <f>C18*(1+0.07)^-($B18-'Global Assumptions'!$C$6)</f>
        <v>0</v>
      </c>
      <c r="E18" s="301">
        <f>IF($B18=$I$11,'C_La Crosse Airport_Costs'!$J$31,0)</f>
        <v>0</v>
      </c>
      <c r="F18" s="71">
        <f>E18*(1+0.07)^-($B18-'Global Assumptions'!$C$6)</f>
        <v>0</v>
      </c>
      <c r="H18" s="153" t="s">
        <v>304</v>
      </c>
      <c r="I18" s="28">
        <v>30</v>
      </c>
      <c r="J18" s="62">
        <v>1223854</v>
      </c>
      <c r="K18" s="74"/>
    </row>
    <row r="19" spans="2:11" ht="15.75" customHeight="1" x14ac:dyDescent="0.25">
      <c r="B19" s="106">
        <f t="shared" si="2"/>
        <v>2031</v>
      </c>
      <c r="C19" s="306">
        <f t="shared" si="1"/>
        <v>0</v>
      </c>
      <c r="D19" s="71">
        <f>C19*(1+0.07)^-($B19-'Global Assumptions'!$C$6)</f>
        <v>0</v>
      </c>
      <c r="E19" s="301">
        <f>IF($B19=$I$11,'C_La Crosse Airport_Costs'!$J$31,0)</f>
        <v>0</v>
      </c>
      <c r="F19" s="71">
        <f>E19*(1+0.07)^-($B19-'Global Assumptions'!$C$6)</f>
        <v>0</v>
      </c>
      <c r="H19" s="153"/>
      <c r="I19" s="28"/>
      <c r="J19" s="62"/>
      <c r="K19" s="74"/>
    </row>
    <row r="20" spans="2:11" ht="15.75" customHeight="1" x14ac:dyDescent="0.25">
      <c r="B20" s="106">
        <f t="shared" si="2"/>
        <v>2032</v>
      </c>
      <c r="C20" s="306">
        <f t="shared" si="1"/>
        <v>0</v>
      </c>
      <c r="D20" s="71">
        <f>C20*(1+0.07)^-($B20-'Global Assumptions'!$C$6)</f>
        <v>0</v>
      </c>
      <c r="E20" s="301">
        <f>IF($B20=$I$11,'C_La Crosse Airport_Costs'!$J$31,0)</f>
        <v>0</v>
      </c>
      <c r="F20" s="71">
        <f>E20*(1+0.07)^-($B20-'Global Assumptions'!$C$6)</f>
        <v>0</v>
      </c>
      <c r="H20" s="153"/>
      <c r="I20" s="28"/>
      <c r="J20" s="62"/>
      <c r="K20" s="74"/>
    </row>
    <row r="21" spans="2:11" ht="15.75" customHeight="1" x14ac:dyDescent="0.25">
      <c r="B21" s="106">
        <f t="shared" si="2"/>
        <v>2033</v>
      </c>
      <c r="C21" s="306">
        <f t="shared" si="1"/>
        <v>0</v>
      </c>
      <c r="D21" s="71">
        <f>C21*(1+0.07)^-($B21-'Global Assumptions'!$C$6)</f>
        <v>0</v>
      </c>
      <c r="E21" s="301">
        <f>IF($B21=$I$11,'C_La Crosse Airport_Costs'!$J$31,0)</f>
        <v>0</v>
      </c>
      <c r="F21" s="71">
        <f>E21*(1+0.07)^-($B21-'Global Assumptions'!$C$6)</f>
        <v>0</v>
      </c>
      <c r="H21" s="396" t="s">
        <v>30</v>
      </c>
      <c r="I21" s="396"/>
      <c r="J21" s="26">
        <f>SUM(J18:J20)</f>
        <v>1223854</v>
      </c>
      <c r="K21" s="75"/>
    </row>
    <row r="22" spans="2:11" ht="15.75" customHeight="1" x14ac:dyDescent="0.25">
      <c r="B22" s="106">
        <f t="shared" si="2"/>
        <v>2034</v>
      </c>
      <c r="C22" s="306">
        <f t="shared" si="1"/>
        <v>0</v>
      </c>
      <c r="D22" s="71">
        <f>C22*(1+0.07)^-($B22-'Global Assumptions'!$C$6)</f>
        <v>0</v>
      </c>
      <c r="E22" s="301">
        <f>IF($B22=$I$11,'C_La Crosse Airport_Costs'!$J$31,0)</f>
        <v>0</v>
      </c>
      <c r="F22" s="71">
        <f>E22*(1+0.07)^-($B22-'Global Assumptions'!$C$6)</f>
        <v>0</v>
      </c>
    </row>
    <row r="23" spans="2:11" ht="15.75" customHeight="1" x14ac:dyDescent="0.25">
      <c r="B23" s="106">
        <f t="shared" si="2"/>
        <v>2035</v>
      </c>
      <c r="C23" s="306">
        <f t="shared" si="1"/>
        <v>0</v>
      </c>
      <c r="D23" s="71">
        <f>C23*(1+0.07)^-($B23-'Global Assumptions'!$C$6)</f>
        <v>0</v>
      </c>
      <c r="E23" s="301">
        <f>IF($B23=$I$11,'C_La Crosse Airport_Costs'!$J$31,0)</f>
        <v>0</v>
      </c>
      <c r="F23" s="71">
        <f>E23*(1+0.07)^-($B23-'Global Assumptions'!$C$6)</f>
        <v>0</v>
      </c>
    </row>
    <row r="24" spans="2:11" ht="15.75" customHeight="1" x14ac:dyDescent="0.25">
      <c r="B24" s="106">
        <f t="shared" si="2"/>
        <v>2036</v>
      </c>
      <c r="C24" s="306">
        <f t="shared" si="1"/>
        <v>0</v>
      </c>
      <c r="D24" s="71">
        <f>C24*(1+0.07)^-($B24-'Global Assumptions'!$C$6)</f>
        <v>0</v>
      </c>
      <c r="E24" s="301">
        <f>IF($B24=$I$11,'C_La Crosse Airport_Costs'!$J$31,0)</f>
        <v>0</v>
      </c>
      <c r="F24" s="71">
        <f>E24*(1+0.07)^-($B24-'Global Assumptions'!$C$6)</f>
        <v>0</v>
      </c>
      <c r="H24" s="151" t="s">
        <v>49</v>
      </c>
      <c r="I24" s="7"/>
      <c r="J24" s="124"/>
      <c r="K24" s="22"/>
    </row>
    <row r="25" spans="2:11" ht="15.75" customHeight="1" x14ac:dyDescent="0.25">
      <c r="B25" s="106">
        <f t="shared" si="2"/>
        <v>2037</v>
      </c>
      <c r="C25" s="306">
        <f t="shared" si="1"/>
        <v>0</v>
      </c>
      <c r="D25" s="71">
        <f>C25*(1+0.07)^-($B25-'Global Assumptions'!$C$6)</f>
        <v>0</v>
      </c>
      <c r="E25" s="301">
        <f>IF($B25=$I$11,'C_La Crosse Airport_Costs'!$J$31,0)</f>
        <v>0</v>
      </c>
      <c r="F25" s="71">
        <f>E25*(1+0.07)^-($B25-'Global Assumptions'!$C$6)</f>
        <v>0</v>
      </c>
      <c r="H25" s="397" t="s">
        <v>4</v>
      </c>
      <c r="I25" s="400" t="s">
        <v>21</v>
      </c>
      <c r="J25" s="400" t="s">
        <v>22</v>
      </c>
      <c r="K25" s="76"/>
    </row>
    <row r="26" spans="2:11" ht="15.75" customHeight="1" x14ac:dyDescent="0.25">
      <c r="B26" s="106">
        <f t="shared" si="2"/>
        <v>2038</v>
      </c>
      <c r="C26" s="306">
        <f t="shared" si="1"/>
        <v>0</v>
      </c>
      <c r="D26" s="71">
        <f>C26*(1+0.07)^-($B26-'Global Assumptions'!$C$6)</f>
        <v>0</v>
      </c>
      <c r="E26" s="301">
        <f>IF($B26=$I$11,'C_La Crosse Airport_Costs'!$J$31,0)</f>
        <v>0</v>
      </c>
      <c r="F26" s="71">
        <f>E26*(1+0.07)^-($B26-'Global Assumptions'!$C$6)</f>
        <v>0</v>
      </c>
      <c r="H26" s="398"/>
      <c r="I26" s="401"/>
      <c r="J26" s="401"/>
      <c r="K26" s="76"/>
    </row>
    <row r="27" spans="2:11" ht="15.75" customHeight="1" x14ac:dyDescent="0.25">
      <c r="B27" s="106">
        <f t="shared" si="2"/>
        <v>2039</v>
      </c>
      <c r="C27" s="306">
        <f t="shared" si="1"/>
        <v>0</v>
      </c>
      <c r="D27" s="71">
        <f>C27*(1+0.07)^-($B27-'Global Assumptions'!$C$6)</f>
        <v>0</v>
      </c>
      <c r="E27" s="301">
        <f>IF($B27=$I$11,'C_La Crosse Airport_Costs'!$J$31,0)</f>
        <v>0</v>
      </c>
      <c r="F27" s="71">
        <f>E27*(1+0.07)^-($B27-'Global Assumptions'!$C$6)</f>
        <v>0</v>
      </c>
      <c r="H27" s="399"/>
      <c r="I27" s="402"/>
      <c r="J27" s="402"/>
      <c r="K27" s="76"/>
    </row>
    <row r="28" spans="2:11" ht="15.75" customHeight="1" x14ac:dyDescent="0.25">
      <c r="B28" s="106">
        <f t="shared" si="2"/>
        <v>2040</v>
      </c>
      <c r="C28" s="306">
        <f t="shared" si="1"/>
        <v>0</v>
      </c>
      <c r="D28" s="71">
        <f>C28*(1+0.07)^-($B28-'Global Assumptions'!$C$6)</f>
        <v>0</v>
      </c>
      <c r="E28" s="301">
        <f>IF($B28=$I$11,'C_La Crosse Airport_Costs'!$J$31,0)</f>
        <v>0</v>
      </c>
      <c r="F28" s="71">
        <f>E28*(1+0.07)^-($B28-'Global Assumptions'!$C$6)</f>
        <v>0</v>
      </c>
      <c r="H28" s="153" t="s">
        <v>304</v>
      </c>
      <c r="I28" s="78">
        <v>0.56600517615078727</v>
      </c>
      <c r="J28" s="79">
        <f>$I28*J18</f>
        <v>692707.69885284558</v>
      </c>
      <c r="K28" s="77"/>
    </row>
    <row r="29" spans="2:11" ht="15.75" customHeight="1" x14ac:dyDescent="0.25">
      <c r="B29" s="106">
        <f t="shared" si="2"/>
        <v>2041</v>
      </c>
      <c r="C29" s="306">
        <f t="shared" si="1"/>
        <v>0</v>
      </c>
      <c r="D29" s="71">
        <f>C29*(1+0.07)^-($B29-'Global Assumptions'!$C$6)</f>
        <v>0</v>
      </c>
      <c r="E29" s="301">
        <f>IF($B29=$I$11,'C_La Crosse Airport_Costs'!$J$31,0)</f>
        <v>0</v>
      </c>
      <c r="F29" s="71">
        <f>E29*(1+0.07)^-($B29-'Global Assumptions'!$C$6)</f>
        <v>0</v>
      </c>
      <c r="H29" s="153"/>
      <c r="I29" s="78"/>
      <c r="J29" s="79"/>
      <c r="K29" s="77"/>
    </row>
    <row r="30" spans="2:11" ht="15.75" customHeight="1" x14ac:dyDescent="0.25">
      <c r="B30" s="106">
        <f t="shared" si="2"/>
        <v>2042</v>
      </c>
      <c r="C30" s="306">
        <f t="shared" si="1"/>
        <v>0</v>
      </c>
      <c r="D30" s="71">
        <f>C30*(1+0.07)^-($B30-'Global Assumptions'!$C$6)</f>
        <v>0</v>
      </c>
      <c r="E30" s="301">
        <f>IF($B30=$I$11,'C_La Crosse Airport_Costs'!$J$31,0)</f>
        <v>692707.69885284558</v>
      </c>
      <c r="F30" s="71">
        <f>E30*(1+0.07)^-($B30-'Global Assumptions'!$C$6)</f>
        <v>146124.53014224154</v>
      </c>
      <c r="H30" s="153"/>
      <c r="I30" s="78"/>
      <c r="J30" s="79"/>
      <c r="K30" s="77"/>
    </row>
    <row r="31" spans="2:11" ht="15.75" customHeight="1" x14ac:dyDescent="0.25">
      <c r="B31" s="106">
        <f t="shared" si="2"/>
        <v>2043</v>
      </c>
      <c r="C31" s="306">
        <f t="shared" si="1"/>
        <v>0</v>
      </c>
      <c r="D31" s="71">
        <f>C31*(1+0.07)^-($B31-'Global Assumptions'!$C$6)</f>
        <v>0</v>
      </c>
      <c r="E31" s="301">
        <f>IF($B31=$I$11,'C_La Crosse Airport_Costs'!$J$31,0)</f>
        <v>0</v>
      </c>
      <c r="F31" s="71">
        <f>E31*(1+0.07)^-($B31-'Global Assumptions'!$C$6)</f>
        <v>0</v>
      </c>
      <c r="H31" s="388" t="s">
        <v>27</v>
      </c>
      <c r="I31" s="389"/>
      <c r="J31" s="27">
        <f>SUM(J28:J30)</f>
        <v>692707.69885284558</v>
      </c>
      <c r="K31" s="75"/>
    </row>
    <row r="32" spans="2:11" ht="15.75" customHeight="1" x14ac:dyDescent="0.25">
      <c r="B32" s="106">
        <f t="shared" si="2"/>
        <v>2044</v>
      </c>
      <c r="C32" s="306">
        <f t="shared" si="1"/>
        <v>0</v>
      </c>
      <c r="D32" s="71">
        <f>C32*(1+0.07)^-($B32-'Global Assumptions'!$C$6)</f>
        <v>0</v>
      </c>
      <c r="E32" s="301">
        <f>IF($B32=$I$11,'C_La Crosse Airport_Costs'!$J$31,0)</f>
        <v>0</v>
      </c>
      <c r="F32" s="71">
        <f>E32*(1+0.07)^-($B32-'Global Assumptions'!$C$6)</f>
        <v>0</v>
      </c>
    </row>
    <row r="33" spans="1:9" ht="15.75" customHeight="1" x14ac:dyDescent="0.25">
      <c r="B33" s="106">
        <f t="shared" si="2"/>
        <v>2045</v>
      </c>
      <c r="C33" s="306">
        <f t="shared" si="1"/>
        <v>0</v>
      </c>
      <c r="D33" s="71">
        <f>C33*(1+0.07)^-($B33-'Global Assumptions'!$C$6)</f>
        <v>0</v>
      </c>
      <c r="E33" s="301">
        <f>IF($B33=$I$11,'C_La Crosse Airport_Costs'!$J$31,0)</f>
        <v>0</v>
      </c>
      <c r="F33" s="71">
        <f>E33*(1+0.07)^-($B33-'Global Assumptions'!$C$6)</f>
        <v>0</v>
      </c>
    </row>
    <row r="34" spans="1:9" ht="15.75" customHeight="1" x14ac:dyDescent="0.25">
      <c r="B34" s="106">
        <f t="shared" si="2"/>
        <v>2046</v>
      </c>
      <c r="C34" s="306">
        <f t="shared" si="1"/>
        <v>0</v>
      </c>
      <c r="D34" s="71">
        <f>C34*(1+0.07)^-($B34-'Global Assumptions'!$C$6)</f>
        <v>0</v>
      </c>
      <c r="E34" s="301">
        <f>IF($B34=$I$11,'C_La Crosse Airport_Costs'!$J$31,0)</f>
        <v>0</v>
      </c>
      <c r="F34" s="71">
        <f>E34*(1+0.07)^-($B34-'Global Assumptions'!$C$6)</f>
        <v>0</v>
      </c>
    </row>
    <row r="35" spans="1:9" ht="15.75" customHeight="1" x14ac:dyDescent="0.25">
      <c r="B35" s="106">
        <f t="shared" si="2"/>
        <v>2047</v>
      </c>
      <c r="C35" s="306">
        <f t="shared" si="1"/>
        <v>0</v>
      </c>
      <c r="D35" s="71">
        <f>C35*(1+0.07)^-($B35-'Global Assumptions'!$C$6)</f>
        <v>0</v>
      </c>
      <c r="E35" s="301">
        <f>IF($B35=$I$11,'C_La Crosse Airport_Costs'!$J$31,0)</f>
        <v>0</v>
      </c>
      <c r="F35" s="71">
        <f>E35*(1+0.07)^-($B35-'Global Assumptions'!$C$6)</f>
        <v>0</v>
      </c>
    </row>
    <row r="36" spans="1:9" ht="15.75" customHeight="1" x14ac:dyDescent="0.25">
      <c r="B36" s="106">
        <f t="shared" si="2"/>
        <v>2048</v>
      </c>
      <c r="C36" s="306">
        <f t="shared" si="1"/>
        <v>0</v>
      </c>
      <c r="D36" s="71">
        <f>C36*(1+0.07)^-($B36-'Global Assumptions'!$C$6)</f>
        <v>0</v>
      </c>
      <c r="E36" s="301">
        <f>IF($B36=$I$11,'C_La Crosse Airport_Costs'!$J$31,0)</f>
        <v>0</v>
      </c>
      <c r="F36" s="71">
        <f>E36*(1+0.07)^-($B36-'Global Assumptions'!$C$6)</f>
        <v>0</v>
      </c>
    </row>
    <row r="37" spans="1:9" ht="15.75" customHeight="1" x14ac:dyDescent="0.25">
      <c r="B37" s="106">
        <f t="shared" si="2"/>
        <v>2049</v>
      </c>
      <c r="C37" s="306">
        <f t="shared" si="1"/>
        <v>0</v>
      </c>
      <c r="D37" s="71">
        <f>C37*(1+0.07)^-($B37-'Global Assumptions'!$C$6)</f>
        <v>0</v>
      </c>
      <c r="E37" s="301">
        <f>IF($B37=$I$11,'C_La Crosse Airport_Costs'!$J$31,0)</f>
        <v>0</v>
      </c>
      <c r="F37" s="71">
        <f>E37*(1+0.07)^-($B37-'Global Assumptions'!$C$6)</f>
        <v>0</v>
      </c>
    </row>
    <row r="38" spans="1:9" ht="15.75" customHeight="1" x14ac:dyDescent="0.25">
      <c r="B38" s="106">
        <f t="shared" si="2"/>
        <v>2050</v>
      </c>
      <c r="C38" s="306">
        <f t="shared" si="1"/>
        <v>0</v>
      </c>
      <c r="D38" s="71">
        <f>C38*(1+0.07)^-($B38-'Global Assumptions'!$C$6)</f>
        <v>0</v>
      </c>
      <c r="E38" s="301">
        <f>IF($B38=$I$11,'C_La Crosse Airport_Costs'!$J$31,0)</f>
        <v>0</v>
      </c>
      <c r="F38" s="71">
        <f>E38*(1+0.07)^-($B38-'Global Assumptions'!$C$6)</f>
        <v>0</v>
      </c>
    </row>
    <row r="39" spans="1:9" ht="15.75" customHeight="1" x14ac:dyDescent="0.25">
      <c r="B39" s="106">
        <f t="shared" si="2"/>
        <v>2051</v>
      </c>
      <c r="C39" s="306">
        <f t="shared" si="1"/>
        <v>0</v>
      </c>
      <c r="D39" s="71">
        <f>C39*(1+0.07)^-($B39-'Global Assumptions'!$C$6)</f>
        <v>0</v>
      </c>
      <c r="E39" s="301">
        <f>IF($B39=$I$11,'C_La Crosse Airport_Costs'!$J$31,0)</f>
        <v>0</v>
      </c>
      <c r="F39" s="71">
        <f>E39*(1+0.07)^-($B39-'Global Assumptions'!$C$6)</f>
        <v>0</v>
      </c>
      <c r="G39" s="14"/>
    </row>
    <row r="40" spans="1:9" ht="15.75" customHeight="1" x14ac:dyDescent="0.25">
      <c r="B40" s="106">
        <f t="shared" si="2"/>
        <v>2052</v>
      </c>
      <c r="C40" s="306">
        <f t="shared" si="1"/>
        <v>0</v>
      </c>
      <c r="D40" s="71">
        <f>C40*(1+0.07)^-($B40-'Global Assumptions'!$C$6)</f>
        <v>0</v>
      </c>
      <c r="E40" s="301">
        <f>IF($B40=$I$11,'C_La Crosse Airport_Costs'!$J$31,0)</f>
        <v>0</v>
      </c>
      <c r="F40" s="71">
        <f>E40*(1+0.07)^-($B40-'Global Assumptions'!$C$6)</f>
        <v>0</v>
      </c>
    </row>
    <row r="41" spans="1:9" ht="15.75" customHeight="1" x14ac:dyDescent="0.25">
      <c r="B41" s="106">
        <f t="shared" si="2"/>
        <v>2053</v>
      </c>
      <c r="C41" s="306">
        <f t="shared" si="1"/>
        <v>0</v>
      </c>
      <c r="D41" s="71">
        <f>C41*(1+0.07)^-($B41-'Global Assumptions'!$C$6)</f>
        <v>0</v>
      </c>
      <c r="E41" s="301">
        <f>IF($B41=$I$11,'C_La Crosse Airport_Costs'!$J$31,0)</f>
        <v>0</v>
      </c>
      <c r="F41" s="71">
        <f>E41*(1+0.07)^-($B41-'Global Assumptions'!$C$6)</f>
        <v>0</v>
      </c>
    </row>
    <row r="42" spans="1:9" ht="15.75" customHeight="1" x14ac:dyDescent="0.25">
      <c r="B42" s="106">
        <f t="shared" si="2"/>
        <v>2054</v>
      </c>
      <c r="C42" s="306">
        <f t="shared" si="1"/>
        <v>0</v>
      </c>
      <c r="D42" s="71">
        <f>C42*(1+0.07)^-($B42-'Global Assumptions'!$C$6)</f>
        <v>0</v>
      </c>
      <c r="E42" s="301">
        <f>IF($B42=$I$11,'C_La Crosse Airport_Costs'!$J$31,0)</f>
        <v>0</v>
      </c>
      <c r="F42" s="71">
        <f>E42*(1+0.07)^-($B42-'Global Assumptions'!$C$6)</f>
        <v>0</v>
      </c>
    </row>
    <row r="43" spans="1:9" ht="15.75" customHeight="1" x14ac:dyDescent="0.25">
      <c r="A43" s="14"/>
      <c r="B43" s="106">
        <f t="shared" si="2"/>
        <v>2055</v>
      </c>
      <c r="C43" s="306">
        <f t="shared" si="1"/>
        <v>0</v>
      </c>
      <c r="D43" s="71">
        <f>C43*(1+0.07)^-($B43-'Global Assumptions'!$C$6)</f>
        <v>0</v>
      </c>
      <c r="E43" s="301">
        <f>IF($B43=$I$11,'C_La Crosse Airport_Costs'!$J$31,0)</f>
        <v>0</v>
      </c>
      <c r="F43" s="71">
        <f>E43*(1+0.07)^-($B43-'Global Assumptions'!$C$6)</f>
        <v>0</v>
      </c>
    </row>
    <row r="44" spans="1:9" ht="15.75" customHeight="1" thickBot="1" x14ac:dyDescent="0.3">
      <c r="B44" s="107">
        <f t="shared" si="2"/>
        <v>2056</v>
      </c>
      <c r="C44" s="307">
        <f t="shared" si="1"/>
        <v>0</v>
      </c>
      <c r="D44" s="72">
        <f>C44*(1+0.07)^-($B44-'Global Assumptions'!$C$6)</f>
        <v>0</v>
      </c>
      <c r="E44" s="311">
        <f>IF($B44=$I$11,'C_La Crosse Airport_Costs'!$J$31,0)</f>
        <v>0</v>
      </c>
      <c r="F44" s="72">
        <f>E44*(1+0.07)^-($B44-'Global Assumptions'!$C$6)</f>
        <v>0</v>
      </c>
    </row>
    <row r="45" spans="1:9" ht="15.75" customHeight="1" thickBot="1" x14ac:dyDescent="0.3">
      <c r="C45" s="126" t="s">
        <v>63</v>
      </c>
      <c r="D45" s="92">
        <f>SUM(D7:D44)</f>
        <v>999029.42182437668</v>
      </c>
      <c r="E45" s="126" t="s">
        <v>64</v>
      </c>
      <c r="F45" s="92">
        <f>SUM(F7:F44)</f>
        <v>146124.53014224154</v>
      </c>
    </row>
    <row r="46" spans="1:9" ht="15" customHeight="1" x14ac:dyDescent="0.25"/>
    <row r="48" spans="1:9" ht="15.75" thickBot="1" x14ac:dyDescent="0.3">
      <c r="B48" s="15" t="s">
        <v>3</v>
      </c>
      <c r="C48" s="14"/>
      <c r="D48" s="14"/>
      <c r="E48" s="14"/>
      <c r="F48" s="14"/>
      <c r="I48" s="151" t="s">
        <v>62</v>
      </c>
    </row>
    <row r="49" spans="1:10" ht="15.75" thickBot="1" x14ac:dyDescent="0.3">
      <c r="A49" s="96" t="s">
        <v>24</v>
      </c>
      <c r="B49" s="367" t="s">
        <v>277</v>
      </c>
      <c r="C49" s="367"/>
      <c r="D49" s="367"/>
      <c r="E49" s="367"/>
      <c r="F49" s="367"/>
      <c r="I49" s="11"/>
      <c r="J49" s="161" t="s">
        <v>39</v>
      </c>
    </row>
    <row r="50" spans="1:10" x14ac:dyDescent="0.25">
      <c r="B50" s="367"/>
      <c r="C50" s="367"/>
      <c r="D50" s="367"/>
      <c r="E50" s="367"/>
      <c r="F50" s="367"/>
      <c r="I50" s="12" t="s">
        <v>18</v>
      </c>
      <c r="J50" s="98">
        <f>'C_La Crosse Airport_Benefits'!F37+'C_La Crosse Airport_AQ Benefits'!E25+F45</f>
        <v>421608.22536089295</v>
      </c>
    </row>
    <row r="51" spans="1:10" ht="15" customHeight="1" thickBot="1" x14ac:dyDescent="0.3">
      <c r="B51" s="367"/>
      <c r="C51" s="367"/>
      <c r="D51" s="367"/>
      <c r="E51" s="367"/>
      <c r="F51" s="367"/>
      <c r="I51" s="13" t="s">
        <v>19</v>
      </c>
      <c r="J51" s="99">
        <f>D45</f>
        <v>999029.42182437668</v>
      </c>
    </row>
    <row r="52" spans="1:10" ht="15.75" thickTop="1" x14ac:dyDescent="0.25">
      <c r="B52" s="367"/>
      <c r="C52" s="367"/>
      <c r="D52" s="367"/>
      <c r="E52" s="367"/>
      <c r="F52" s="367"/>
      <c r="I52" s="87" t="s">
        <v>20</v>
      </c>
      <c r="J52" s="88">
        <f>+J50/J51</f>
        <v>0.42201782665316651</v>
      </c>
    </row>
    <row r="53" spans="1:10" ht="15.75" thickBot="1" x14ac:dyDescent="0.3">
      <c r="B53" s="367"/>
      <c r="C53" s="367"/>
      <c r="D53" s="367"/>
      <c r="E53" s="367"/>
      <c r="F53" s="367"/>
      <c r="I53" s="89" t="s">
        <v>50</v>
      </c>
      <c r="J53" s="90">
        <f>J50-J51</f>
        <v>-577421.19646348373</v>
      </c>
    </row>
    <row r="54" spans="1:10" x14ac:dyDescent="0.25">
      <c r="A54" s="96"/>
      <c r="B54" s="215"/>
      <c r="C54" s="215"/>
      <c r="D54" s="215"/>
      <c r="E54" s="215"/>
      <c r="F54" s="215"/>
    </row>
    <row r="55" spans="1:10" ht="15" customHeight="1" x14ac:dyDescent="0.25">
      <c r="A55" s="96" t="s">
        <v>23</v>
      </c>
      <c r="B55" s="367" t="s">
        <v>52</v>
      </c>
      <c r="C55" s="367"/>
      <c r="D55" s="367"/>
      <c r="E55" s="367"/>
      <c r="F55" s="367"/>
    </row>
    <row r="56" spans="1:10" x14ac:dyDescent="0.25">
      <c r="A56" s="50"/>
      <c r="B56" s="367"/>
      <c r="C56" s="367"/>
      <c r="D56" s="367"/>
      <c r="E56" s="367"/>
      <c r="F56" s="367"/>
    </row>
    <row r="57" spans="1:10" x14ac:dyDescent="0.25">
      <c r="A57" s="50"/>
      <c r="B57" s="367"/>
      <c r="C57" s="367"/>
      <c r="D57" s="367"/>
      <c r="E57" s="367"/>
      <c r="F57" s="367"/>
    </row>
    <row r="58" spans="1:10" x14ac:dyDescent="0.25">
      <c r="A58" s="96"/>
      <c r="B58" s="367"/>
      <c r="C58" s="367"/>
      <c r="D58" s="367"/>
      <c r="E58" s="367"/>
      <c r="F58" s="367"/>
    </row>
    <row r="59" spans="1:10" x14ac:dyDescent="0.25">
      <c r="B59" s="367"/>
      <c r="C59" s="367"/>
      <c r="D59" s="367"/>
      <c r="E59" s="367"/>
      <c r="F59" s="367"/>
    </row>
    <row r="60" spans="1:10" x14ac:dyDescent="0.25">
      <c r="B60" s="367"/>
      <c r="C60" s="367"/>
      <c r="D60" s="367"/>
      <c r="E60" s="367"/>
      <c r="F60" s="367"/>
    </row>
    <row r="61" spans="1:10" ht="15" customHeight="1" x14ac:dyDescent="0.25">
      <c r="A61" s="152"/>
      <c r="B61" s="367"/>
      <c r="C61" s="367"/>
      <c r="D61" s="367"/>
      <c r="E61" s="367"/>
      <c r="F61" s="367"/>
    </row>
    <row r="62" spans="1:10" x14ac:dyDescent="0.25">
      <c r="A62" s="50"/>
      <c r="B62" s="367"/>
      <c r="C62" s="367"/>
      <c r="D62" s="367"/>
      <c r="E62" s="367"/>
      <c r="F62" s="367"/>
    </row>
    <row r="63" spans="1:10" x14ac:dyDescent="0.25">
      <c r="B63" s="367"/>
      <c r="C63" s="367"/>
      <c r="D63" s="367"/>
      <c r="E63" s="367"/>
      <c r="F63" s="367"/>
    </row>
  </sheetData>
  <mergeCells count="15">
    <mergeCell ref="H31:I31"/>
    <mergeCell ref="B49:F53"/>
    <mergeCell ref="B55:F63"/>
    <mergeCell ref="I15:I17"/>
    <mergeCell ref="J15:J17"/>
    <mergeCell ref="H21:I21"/>
    <mergeCell ref="H25:H27"/>
    <mergeCell ref="I25:I27"/>
    <mergeCell ref="J25:J27"/>
    <mergeCell ref="H15:H17"/>
    <mergeCell ref="B5:B6"/>
    <mergeCell ref="C5:C6"/>
    <mergeCell ref="D5:D6"/>
    <mergeCell ref="E5:E6"/>
    <mergeCell ref="F5:F6"/>
  </mergeCells>
  <pageMargins left="0.25" right="0.25" top="0.75" bottom="0.75" header="0.3" footer="0.3"/>
  <pageSetup paperSize="119" scale="5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m W V S U L 6 8 F Z + o A A A A + A A A A B I A H A B D b 2 5 m a W c v U G F j a 2 F n Z S 5 4 b W w g o h g A K K A U A A A A A A A A A A A A A A A A A A A A A A A A A A A A h Y 9 B D o I w F E S v Q r q n L Q g q 5 F M W b i U x I R q 3 D V R o h G J o s d z N h U f y C p I o 6 s 7 l T N 4 k b x 6 3 O 6 R j 2 z h X 0 W v Z q Q R 5 m C J H q K I r p a o S N J i T u 0 Y p g x 0 v z r w S z g Q r H Y 9 a J q g 2 5 h I T Y q 3 F d o G 7 v i I + p R 4 5 Z t u 8 q E X L X a m 0 4 a o Q 6 L M q / 6 8 Q g 8 N L h v l 4 F e J w G U Q 4 C j w g c w 2 Z V F / E n 4 w x B f J T w m Z o z N A L J p S 7 z 4 H M E c j 7 B X s C U E s D B B Q A A g A I A J l l U l 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Z Z V J Q K I p H u A 4 A A A A R A A A A E w A c A E Z v c m 1 1 b G F z L 1 N l Y 3 R p b 2 4 x L m 0 g o h g A K K A U A A A A A A A A A A A A A A A A A A A A A A A A A A A A K 0 5 N L s n M z 1 M I h t C G 1 g B Q S w E C L Q A U A A I A C A C Z Z V J Q v r w V n 6 g A A A D 4 A A A A E g A A A A A A A A A A A A A A A A A A A A A A Q 2 9 u Z m l n L 1 B h Y 2 t h Z 2 U u e G 1 s U E s B A i 0 A F A A C A A g A m W V S U A / K 6 a u k A A A A 6 Q A A A B M A A A A A A A A A A A A A A A A A 9 A A A A F t D b 2 5 0 Z W 5 0 X 1 R 5 c G V z X S 5 4 b W x Q S w E C L Q A U A A I A C A C Z Z V J 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P w f 6 H S W H k 2 k 6 O 1 c W / h y s Q A A A A A C A A A A A A A D Z g A A w A A A A B A A A A A Y W K e X P y v h U O f D z J K 1 o Y 9 7 A A A A A A S A A A C g A A A A E A A A A I K x K S a W z q w L A Q 9 9 h v q y D W t Q A A A A m c S y Q r s U 1 V x W 7 l 7 8 G F U e t Z X W s W s p I a 5 + j 0 2 q r y z 9 R y u / N 3 x F H 3 8 K N 4 P H d o O 2 K k r f 7 c F L u v G B Y e 5 / + W p 0 h 2 + / j A s G 2 9 u R M 8 k f 8 2 l o r L J z L 6 8 U A A A A O 5 5 3 s / I L i C x 9 Y m P 9 u k d V Z J F k I 7 w = < / D a t a M a s h u p > 
</file>

<file path=customXml/itemProps1.xml><?xml version="1.0" encoding="utf-8"?>
<ds:datastoreItem xmlns:ds="http://schemas.openxmlformats.org/officeDocument/2006/customXml" ds:itemID="{DD0C0C97-B770-489B-BA56-8E9FDB3515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24</vt:i4>
      </vt:variant>
    </vt:vector>
  </HeadingPairs>
  <TitlesOfParts>
    <vt:vector size="46" baseType="lpstr">
      <vt:lpstr>Global Assumptions</vt:lpstr>
      <vt:lpstr>BCA Summary</vt:lpstr>
      <vt:lpstr>A_Harbor_Improvements_Benefits</vt:lpstr>
      <vt:lpstr>A_Harbor Improvements_Costs</vt:lpstr>
      <vt:lpstr>B_Roadway Improvements_Benefits</vt:lpstr>
      <vt:lpstr>B_Roadway Improvements_Costs</vt:lpstr>
      <vt:lpstr>C_La Crosse Airport_Benefits</vt:lpstr>
      <vt:lpstr>C_La Crosse Airport_AQ Benefits</vt:lpstr>
      <vt:lpstr>C_La Crosse Airport_Costs</vt:lpstr>
      <vt:lpstr>D_EV Charging Station_Benefits</vt:lpstr>
      <vt:lpstr>D_EV Charging Station_ AQ Benef</vt:lpstr>
      <vt:lpstr>D_EV Charging Costs</vt:lpstr>
      <vt:lpstr>E_Fiber Optic_Benefits</vt:lpstr>
      <vt:lpstr>E_Fiber Optic Costs</vt:lpstr>
      <vt:lpstr>F_Copeland Sidewalk_Benefits</vt:lpstr>
      <vt:lpstr>F_Copeland Sidewalk_Costs</vt:lpstr>
      <vt:lpstr>G_Copeland Park Pier Benefits</vt:lpstr>
      <vt:lpstr>G_Copeland Park Pier_Costs</vt:lpstr>
      <vt:lpstr>H_Campbell Watermain_Benefits</vt:lpstr>
      <vt:lpstr>H_Campbell Watermain_AQ Benefit</vt:lpstr>
      <vt:lpstr>H_Campbell Watermain_Costs</vt:lpstr>
      <vt:lpstr>RCV Calculator</vt:lpstr>
      <vt:lpstr>'H_Campbell Watermain_Benefits'!_ftn2</vt:lpstr>
      <vt:lpstr>'D_EV Charging Station_Benefits'!_ftnref1</vt:lpstr>
      <vt:lpstr>'H_Campbell Watermain_Benefits'!_ftnref2</vt:lpstr>
      <vt:lpstr>'A_Harbor Improvements_Costs'!Print_Area</vt:lpstr>
      <vt:lpstr>A_Harbor_Improvements_Benefits!Print_Area</vt:lpstr>
      <vt:lpstr>'B_Roadway Improvements_Benefits'!Print_Area</vt:lpstr>
      <vt:lpstr>'B_Roadway Improvements_Costs'!Print_Area</vt:lpstr>
      <vt:lpstr>'BCA Summary'!Print_Area</vt:lpstr>
      <vt:lpstr>'C_La Crosse Airport_AQ Benefits'!Print_Area</vt:lpstr>
      <vt:lpstr>'C_La Crosse Airport_Benefits'!Print_Area</vt:lpstr>
      <vt:lpstr>'C_La Crosse Airport_Costs'!Print_Area</vt:lpstr>
      <vt:lpstr>'D_EV Charging Costs'!Print_Area</vt:lpstr>
      <vt:lpstr>'D_EV Charging Station_ AQ Benef'!Print_Area</vt:lpstr>
      <vt:lpstr>'D_EV Charging Station_Benefits'!Print_Area</vt:lpstr>
      <vt:lpstr>'E_Fiber Optic Costs'!Print_Area</vt:lpstr>
      <vt:lpstr>'E_Fiber Optic_Benefits'!Print_Area</vt:lpstr>
      <vt:lpstr>'F_Copeland Sidewalk_Benefits'!Print_Area</vt:lpstr>
      <vt:lpstr>'F_Copeland Sidewalk_Costs'!Print_Area</vt:lpstr>
      <vt:lpstr>'G_Copeland Park Pier Benefits'!Print_Area</vt:lpstr>
      <vt:lpstr>'G_Copeland Park Pier_Costs'!Print_Area</vt:lpstr>
      <vt:lpstr>'Global Assumptions'!Print_Area</vt:lpstr>
      <vt:lpstr>'H_Campbell Watermain_AQ Benefit'!Print_Area</vt:lpstr>
      <vt:lpstr>'H_Campbell Watermain_Benefits'!Print_Area</vt:lpstr>
      <vt:lpstr>'H_Campbell Watermain_Costs'!Print_Area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Nick Semeja</cp:lastModifiedBy>
  <cp:lastPrinted>2021-07-09T06:18:23Z</cp:lastPrinted>
  <dcterms:created xsi:type="dcterms:W3CDTF">2013-05-17T20:57:43Z</dcterms:created>
  <dcterms:modified xsi:type="dcterms:W3CDTF">2021-07-10T00:47:28Z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m_Crash_Cost" linkTarget="Prop_Dam_Crash_Cost">
    <vt:r8>0</vt:r8>
  </property>
</Properties>
</file>